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8535" tabRatio="652" firstSheet="6" activeTab="6"/>
  </bookViews>
  <sheets>
    <sheet name="Годовой ФОТ председатель" sheetId="65" state="hidden" r:id="rId1"/>
    <sheet name="Годовой ФОТ КСП" sheetId="66" state="hidden" r:id="rId2"/>
    <sheet name="Годовой ФОТ ДУМЫ" sheetId="61" state="hidden" r:id="rId3"/>
    <sheet name="Годовой ФОТАСР с уч.повыш по до" sheetId="68" state="hidden" r:id="rId4"/>
    <sheet name="Годовой ФОТ АСР с учетом повыш" sheetId="69" state="hidden" r:id="rId5"/>
    <sheet name="Расчёт ХМАО. Г и Сп Проект" sheetId="59" state="hidden" r:id="rId6"/>
    <sheet name="Годовой ФОТ глава Русскинская" sheetId="71" r:id="rId7"/>
    <sheet name="Годовой ФОТ Русскинская" sheetId="74" r:id="rId8"/>
    <sheet name="коэфф.кратности Русскинская" sheetId="75" r:id="rId9"/>
  </sheets>
  <definedNames>
    <definedName name="_xlnm.Print_Titles" localSheetId="5">'Расчёт ХМАО. Г и Сп Проект'!$3:$4</definedName>
  </definedNames>
  <calcPr calcId="125725" fullCalcOnLoad="1" refMode="R1C1" fullPrecision="0"/>
</workbook>
</file>

<file path=xl/calcChain.xml><?xml version="1.0" encoding="utf-8"?>
<calcChain xmlns="http://schemas.openxmlformats.org/spreadsheetml/2006/main">
  <c r="D7" i="74"/>
  <c r="D11" s="1"/>
  <c r="M53" i="75"/>
  <c r="N53"/>
  <c r="M67"/>
  <c r="N67"/>
  <c r="M68"/>
  <c r="M54"/>
  <c r="N54"/>
  <c r="M42"/>
  <c r="N68"/>
  <c r="N5"/>
  <c r="F10"/>
  <c r="P10"/>
  <c r="R10"/>
  <c r="N95"/>
  <c r="N94"/>
  <c r="N93"/>
  <c r="N92"/>
  <c r="N91"/>
  <c r="N90"/>
  <c r="N89"/>
  <c r="N88"/>
  <c r="N87"/>
  <c r="N86"/>
  <c r="N85"/>
  <c r="M83"/>
  <c r="N83"/>
  <c r="N82"/>
  <c r="M81"/>
  <c r="N81"/>
  <c r="M80"/>
  <c r="N80"/>
  <c r="M79"/>
  <c r="N79"/>
  <c r="R78"/>
  <c r="P78"/>
  <c r="L78"/>
  <c r="K78"/>
  <c r="J78"/>
  <c r="F78"/>
  <c r="Q73"/>
  <c r="R73"/>
  <c r="O73"/>
  <c r="P73"/>
  <c r="M73"/>
  <c r="N73"/>
  <c r="Q72"/>
  <c r="R72"/>
  <c r="O72"/>
  <c r="P72"/>
  <c r="M72"/>
  <c r="N72"/>
  <c r="Q71"/>
  <c r="R71"/>
  <c r="O71"/>
  <c r="P71"/>
  <c r="M71"/>
  <c r="N71"/>
  <c r="A71"/>
  <c r="O70"/>
  <c r="P70"/>
  <c r="Q69"/>
  <c r="R69"/>
  <c r="M69"/>
  <c r="N69"/>
  <c r="O68"/>
  <c r="P68"/>
  <c r="O67"/>
  <c r="P67"/>
  <c r="A67"/>
  <c r="Q66"/>
  <c r="R66"/>
  <c r="N66"/>
  <c r="Q65"/>
  <c r="R65"/>
  <c r="O65"/>
  <c r="P65"/>
  <c r="N65"/>
  <c r="O64"/>
  <c r="P64"/>
  <c r="N64"/>
  <c r="Q63"/>
  <c r="R63"/>
  <c r="O63"/>
  <c r="P63"/>
  <c r="M63"/>
  <c r="N63"/>
  <c r="Q62"/>
  <c r="R62"/>
  <c r="O62"/>
  <c r="P62"/>
  <c r="N62"/>
  <c r="O61"/>
  <c r="P61"/>
  <c r="N61"/>
  <c r="Q60"/>
  <c r="R60"/>
  <c r="O60"/>
  <c r="P60"/>
  <c r="M60"/>
  <c r="N60"/>
  <c r="Q59"/>
  <c r="R59"/>
  <c r="O59"/>
  <c r="P59"/>
  <c r="N59"/>
  <c r="O58"/>
  <c r="P58"/>
  <c r="N58"/>
  <c r="Q57"/>
  <c r="R57"/>
  <c r="O57"/>
  <c r="P57"/>
  <c r="N57"/>
  <c r="Q56"/>
  <c r="R56"/>
  <c r="N56"/>
  <c r="Q55"/>
  <c r="R55"/>
  <c r="O55"/>
  <c r="P55"/>
  <c r="N55"/>
  <c r="A55"/>
  <c r="Q54"/>
  <c r="R54"/>
  <c r="O54"/>
  <c r="P54"/>
  <c r="Q53"/>
  <c r="R53"/>
  <c r="Q52"/>
  <c r="R52"/>
  <c r="O52"/>
  <c r="P52"/>
  <c r="N52"/>
  <c r="O51"/>
  <c r="P51"/>
  <c r="N51"/>
  <c r="Q50"/>
  <c r="R50"/>
  <c r="O50"/>
  <c r="P50"/>
  <c r="N50"/>
  <c r="Q49"/>
  <c r="R49"/>
  <c r="N49"/>
  <c r="Q48"/>
  <c r="R48"/>
  <c r="O48"/>
  <c r="P48"/>
  <c r="N48"/>
  <c r="O47"/>
  <c r="P47"/>
  <c r="N47"/>
  <c r="A47"/>
  <c r="Q46"/>
  <c r="R46"/>
  <c r="N46"/>
  <c r="Q45"/>
  <c r="R45"/>
  <c r="O45"/>
  <c r="P45"/>
  <c r="N45"/>
  <c r="O44"/>
  <c r="P44"/>
  <c r="N44"/>
  <c r="A44"/>
  <c r="Q43"/>
  <c r="R43"/>
  <c r="R39"/>
  <c r="R30"/>
  <c r="O43"/>
  <c r="P43"/>
  <c r="P39"/>
  <c r="N43"/>
  <c r="N42"/>
  <c r="H39"/>
  <c r="G39"/>
  <c r="F39"/>
  <c r="F30"/>
  <c r="O37"/>
  <c r="P37"/>
  <c r="N37"/>
  <c r="N32"/>
  <c r="O35"/>
  <c r="P35"/>
  <c r="N35"/>
  <c r="O34"/>
  <c r="P34"/>
  <c r="N34"/>
  <c r="O33"/>
  <c r="P33"/>
  <c r="P32"/>
  <c r="P30"/>
  <c r="N33"/>
  <c r="R32"/>
  <c r="G32"/>
  <c r="G30"/>
  <c r="F32"/>
  <c r="M29"/>
  <c r="N29"/>
  <c r="M27"/>
  <c r="N27"/>
  <c r="M25"/>
  <c r="N25"/>
  <c r="M23"/>
  <c r="N23"/>
  <c r="N22"/>
  <c r="N21"/>
  <c r="N20"/>
  <c r="N19"/>
  <c r="N18"/>
  <c r="N17"/>
  <c r="N16"/>
  <c r="N15"/>
  <c r="N14"/>
  <c r="N13"/>
  <c r="N12"/>
  <c r="N11"/>
  <c r="G7" i="68"/>
  <c r="D7" s="1"/>
  <c r="D34" i="69"/>
  <c r="E20"/>
  <c r="E18"/>
  <c r="E17"/>
  <c r="D34" i="68"/>
  <c r="E18"/>
  <c r="E17"/>
  <c r="E20"/>
  <c r="D12"/>
  <c r="D12" i="69"/>
  <c r="D34" i="61"/>
  <c r="D34" i="65"/>
  <c r="D7" i="66"/>
  <c r="D11" s="1"/>
  <c r="D14"/>
  <c r="D34"/>
  <c r="E18"/>
  <c r="E17"/>
  <c r="E20"/>
  <c r="E18" i="65"/>
  <c r="E17"/>
  <c r="E20"/>
  <c r="D7"/>
  <c r="D12" s="1"/>
  <c r="E18" i="61"/>
  <c r="E17"/>
  <c r="E20"/>
  <c r="AA17" i="59"/>
  <c r="W17"/>
  <c r="X17"/>
  <c r="U17"/>
  <c r="F10"/>
  <c r="F11"/>
  <c r="F12"/>
  <c r="F13"/>
  <c r="F14"/>
  <c r="F15"/>
  <c r="G15"/>
  <c r="F16"/>
  <c r="G16"/>
  <c r="O16"/>
  <c r="G14"/>
  <c r="S14"/>
  <c r="G13"/>
  <c r="H13"/>
  <c r="G12"/>
  <c r="G11"/>
  <c r="M11"/>
  <c r="G10"/>
  <c r="K10"/>
  <c r="F8"/>
  <c r="G8"/>
  <c r="H8"/>
  <c r="S8"/>
  <c r="F7"/>
  <c r="G7"/>
  <c r="F6"/>
  <c r="G6"/>
  <c r="O6"/>
  <c r="AC14"/>
  <c r="K14"/>
  <c r="AC6"/>
  <c r="S11"/>
  <c r="H11"/>
  <c r="O11"/>
  <c r="K11"/>
  <c r="AC11"/>
  <c r="AC12"/>
  <c r="S12"/>
  <c r="H12"/>
  <c r="V12"/>
  <c r="O12"/>
  <c r="M12"/>
  <c r="K12"/>
  <c r="M13"/>
  <c r="S13"/>
  <c r="O13"/>
  <c r="M14"/>
  <c r="H14"/>
  <c r="O14"/>
  <c r="U14"/>
  <c r="U12"/>
  <c r="O7"/>
  <c r="AC7"/>
  <c r="H7"/>
  <c r="S7"/>
  <c r="V11"/>
  <c r="V14"/>
  <c r="AC15"/>
  <c r="S15"/>
  <c r="M15"/>
  <c r="K15"/>
  <c r="H15"/>
  <c r="O15"/>
  <c r="W12"/>
  <c r="X12"/>
  <c r="Y12"/>
  <c r="AF12"/>
  <c r="AA12"/>
  <c r="AD12"/>
  <c r="AE12"/>
  <c r="O10"/>
  <c r="U11"/>
  <c r="S10"/>
  <c r="K13"/>
  <c r="AC10"/>
  <c r="H6"/>
  <c r="O8"/>
  <c r="S16"/>
  <c r="AC16"/>
  <c r="M10"/>
  <c r="S6"/>
  <c r="AC8"/>
  <c r="AC13"/>
  <c r="K16"/>
  <c r="H10"/>
  <c r="H16"/>
  <c r="M16"/>
  <c r="V8"/>
  <c r="U10"/>
  <c r="V10"/>
  <c r="U8"/>
  <c r="U15"/>
  <c r="V15"/>
  <c r="U16"/>
  <c r="V16"/>
  <c r="AG12"/>
  <c r="AH12"/>
  <c r="AA14"/>
  <c r="AD14"/>
  <c r="AE14"/>
  <c r="AG14"/>
  <c r="AH14"/>
  <c r="W14"/>
  <c r="X14"/>
  <c r="Y14"/>
  <c r="AF14"/>
  <c r="AA11"/>
  <c r="AD11"/>
  <c r="AF11"/>
  <c r="W11"/>
  <c r="X11"/>
  <c r="Y11"/>
  <c r="AE11"/>
  <c r="AG11"/>
  <c r="AH11"/>
  <c r="U7"/>
  <c r="V7"/>
  <c r="U6"/>
  <c r="V6"/>
  <c r="U13"/>
  <c r="V13"/>
  <c r="AA13"/>
  <c r="W13"/>
  <c r="X13"/>
  <c r="Y13"/>
  <c r="AF13"/>
  <c r="AD13"/>
  <c r="AE13"/>
  <c r="AG13"/>
  <c r="AH13"/>
  <c r="AF15"/>
  <c r="AE15"/>
  <c r="AA15"/>
  <c r="AD15"/>
  <c r="W15"/>
  <c r="X15"/>
  <c r="Y15"/>
  <c r="AG15"/>
  <c r="AH15"/>
  <c r="AA10"/>
  <c r="W10"/>
  <c r="X10"/>
  <c r="Y10"/>
  <c r="AD10"/>
  <c r="AE10"/>
  <c r="AG10"/>
  <c r="AH10"/>
  <c r="AF10"/>
  <c r="AD16"/>
  <c r="AA16"/>
  <c r="AF16"/>
  <c r="W16"/>
  <c r="X16"/>
  <c r="Y16"/>
  <c r="W7"/>
  <c r="X7"/>
  <c r="Y7"/>
  <c r="AF7"/>
  <c r="AA7"/>
  <c r="AD7"/>
  <c r="AE7"/>
  <c r="W6"/>
  <c r="X6"/>
  <c r="Y6"/>
  <c r="AD6"/>
  <c r="AE6"/>
  <c r="AA6"/>
  <c r="AF6"/>
  <c r="AD8"/>
  <c r="W8"/>
  <c r="X8"/>
  <c r="Y8"/>
  <c r="AF8"/>
  <c r="AE8"/>
  <c r="AG8"/>
  <c r="AH8"/>
  <c r="AA8"/>
  <c r="AE16"/>
  <c r="AG16"/>
  <c r="AH16"/>
  <c r="AG6"/>
  <c r="AH6"/>
  <c r="AG7"/>
  <c r="AH7"/>
  <c r="D7" i="61"/>
  <c r="D9" s="1"/>
  <c r="D13" s="1"/>
  <c r="D7" i="69"/>
  <c r="D11"/>
  <c r="D9" i="66"/>
  <c r="D10" i="61"/>
  <c r="D11"/>
  <c r="D8" i="69"/>
  <c r="D10" i="66"/>
  <c r="M24" i="75"/>
  <c r="N24"/>
  <c r="M26"/>
  <c r="N26"/>
  <c r="M28"/>
  <c r="N28"/>
  <c r="Q44"/>
  <c r="R44"/>
  <c r="O46"/>
  <c r="P46"/>
  <c r="Q47"/>
  <c r="R47"/>
  <c r="O49"/>
  <c r="P49"/>
  <c r="Q51"/>
  <c r="R51"/>
  <c r="O53"/>
  <c r="P53"/>
  <c r="O56"/>
  <c r="P56"/>
  <c r="Q58"/>
  <c r="R58"/>
  <c r="Q61"/>
  <c r="R61"/>
  <c r="Q64"/>
  <c r="R64"/>
  <c r="O66"/>
  <c r="P66"/>
  <c r="Q67"/>
  <c r="R67"/>
  <c r="Q68"/>
  <c r="R68"/>
  <c r="O69"/>
  <c r="P69"/>
  <c r="M70"/>
  <c r="N70"/>
  <c r="Q70"/>
  <c r="R70"/>
  <c r="M4"/>
  <c r="N4"/>
  <c r="D7" i="71"/>
  <c r="D8" s="1"/>
  <c r="N10" i="75"/>
  <c r="D13" i="71"/>
  <c r="N39" i="75"/>
  <c r="N30"/>
  <c r="N78"/>
  <c r="D13" i="69"/>
  <c r="D9"/>
  <c r="D14"/>
  <c r="D10"/>
  <c r="D15"/>
  <c r="D9" i="68" l="1"/>
  <c r="D13" s="1"/>
  <c r="D8"/>
  <c r="D11"/>
  <c r="D10"/>
  <c r="D14"/>
  <c r="D18" i="69"/>
  <c r="D14" i="71"/>
  <c r="D15" s="1"/>
  <c r="D8" i="61"/>
  <c r="D13" i="65"/>
  <c r="D8"/>
  <c r="D17" i="69"/>
  <c r="D19" s="1"/>
  <c r="D14" i="61"/>
  <c r="D13" i="66"/>
  <c r="D14" i="65"/>
  <c r="D8" i="66"/>
  <c r="D15" s="1"/>
  <c r="D9" i="74"/>
  <c r="D13" s="1"/>
  <c r="D14"/>
  <c r="D10"/>
  <c r="D8"/>
  <c r="D20" i="69" l="1"/>
  <c r="D17" i="71"/>
  <c r="D18"/>
  <c r="D19" s="1"/>
  <c r="D15" i="65"/>
  <c r="D17" i="66"/>
  <c r="D18"/>
  <c r="D19"/>
  <c r="D15" i="61"/>
  <c r="D15" i="68"/>
  <c r="D15" i="74"/>
  <c r="D20" i="71" l="1"/>
  <c r="D20" i="66"/>
  <c r="D21" i="69"/>
  <c r="D23"/>
  <c r="D22"/>
  <c r="D17" i="61"/>
  <c r="D19" s="1"/>
  <c r="D18"/>
  <c r="D19" i="65"/>
  <c r="D18"/>
  <c r="D17"/>
  <c r="D17" i="68"/>
  <c r="D19" s="1"/>
  <c r="D18"/>
  <c r="D17" i="74"/>
  <c r="D18"/>
  <c r="D20" i="68" l="1"/>
  <c r="D20" i="61"/>
  <c r="D20" i="65"/>
  <c r="D21" i="66"/>
  <c r="D22"/>
  <c r="D23"/>
  <c r="D22" i="71"/>
  <c r="D21"/>
  <c r="D23"/>
  <c r="D24" i="69"/>
  <c r="D19" i="74"/>
  <c r="D20"/>
  <c r="D31" i="69" l="1"/>
  <c r="D35"/>
  <c r="D30"/>
  <c r="D29"/>
  <c r="D26"/>
  <c r="D25"/>
  <c r="D22" i="68"/>
  <c r="D23"/>
  <c r="D21"/>
  <c r="D24" s="1"/>
  <c r="D23" i="61"/>
  <c r="D22"/>
  <c r="D21"/>
  <c r="D23" i="65"/>
  <c r="D22"/>
  <c r="D21"/>
  <c r="D24" i="71"/>
  <c r="D24" i="66"/>
  <c r="D23" i="74"/>
  <c r="D21"/>
  <c r="D22"/>
  <c r="D35" i="66" l="1"/>
  <c r="D29"/>
  <c r="D30"/>
  <c r="D25"/>
  <c r="D31"/>
  <c r="D26"/>
  <c r="D25" i="68"/>
  <c r="D29"/>
  <c r="D26"/>
  <c r="D30"/>
  <c r="D35"/>
  <c r="D31"/>
  <c r="D24" i="65"/>
  <c r="D26" i="71"/>
  <c r="D30"/>
  <c r="D31"/>
  <c r="D29"/>
  <c r="D25"/>
  <c r="D24" i="61"/>
  <c r="D24" i="74"/>
  <c r="D31" i="65" l="1"/>
  <c r="D29"/>
  <c r="D26"/>
  <c r="D25"/>
  <c r="D30"/>
  <c r="D35"/>
  <c r="D31" i="61"/>
  <c r="D30"/>
  <c r="D26"/>
  <c r="D29"/>
  <c r="D25"/>
  <c r="D35"/>
  <c r="D26" i="74"/>
  <c r="D25"/>
  <c r="D29"/>
  <c r="D30"/>
  <c r="D31"/>
</calcChain>
</file>

<file path=xl/sharedStrings.xml><?xml version="1.0" encoding="utf-8"?>
<sst xmlns="http://schemas.openxmlformats.org/spreadsheetml/2006/main" count="948" uniqueCount="205">
  <si>
    <t>Наименование должности</t>
  </si>
  <si>
    <t>Категория / группа</t>
  </si>
  <si>
    <t>Главный специалист</t>
  </si>
  <si>
    <t>Ведущий специалист</t>
  </si>
  <si>
    <t>Специалист I категории</t>
  </si>
  <si>
    <t>Специалист</t>
  </si>
  <si>
    <t>Специалист II категории</t>
  </si>
  <si>
    <t>Муниципальная должность</t>
  </si>
  <si>
    <t>Городские и сельские поселения:</t>
  </si>
  <si>
    <t>Руководитель, высшая</t>
  </si>
  <si>
    <t>Специалист, ведущая</t>
  </si>
  <si>
    <t>Специалист, старшая</t>
  </si>
  <si>
    <t>Обеспечивающий специалист, младшая</t>
  </si>
  <si>
    <t>Сумма должно-стных окладов на год (п.5*12)</t>
  </si>
  <si>
    <t>Заместитель главы (главы администрации) МО**</t>
  </si>
  <si>
    <t>Поселения: численность населения до 1 000 человек</t>
  </si>
  <si>
    <t>Размер район-ного коэффи-циента 70% и северной надбавки 50%</t>
  </si>
  <si>
    <t>Размер надбавки к должност. окладу за выслугу лет (кол-во долж. окладов)</t>
  </si>
  <si>
    <t>Размер надбавки к должност. окладу за особые условия муницип. службы (кол-во долж. окладов)</t>
  </si>
  <si>
    <t>Размер ежемесяч.процентной надбавка к долж.окладу за работу со сведениями, составляющ. госуд. тайну (кол-во долж. окладов)</t>
  </si>
  <si>
    <t>Размер премий за выполнение особо важных и сложных заданий, к юбил. датам и празднич. дням (кол-во долж. окладов)</t>
  </si>
  <si>
    <t>Сумма премий за выполнение особо важных и сложных заданий, к юбил. датам и празднич. дням (п.5*п.33)</t>
  </si>
  <si>
    <t>Размер ежемесяч. денежного поощрения (кол-во долж. окладов)</t>
  </si>
  <si>
    <t>Заработная плата в месяц (п.39/12)</t>
  </si>
  <si>
    <t xml:space="preserve">(п.39а*2оклада/2,2) </t>
  </si>
  <si>
    <t>Окладов (п.39б/п.5)</t>
  </si>
  <si>
    <t>Депутат представительного органа муниципального образования, осуществляющий свои полномочия на постоянной основе</t>
  </si>
  <si>
    <t>С учетом округления</t>
  </si>
  <si>
    <t>Председатель избирательной комиссии муниципального образования</t>
  </si>
  <si>
    <t>Сумма ежемесяч. надбавки к должностному окладу за классный чин</t>
  </si>
  <si>
    <t>Сумма надбавок к должност. окладу за выслугу лет (п.5*п.8)</t>
  </si>
  <si>
    <t>Сумма надбавок к должност. окладу за особые условия муницип. службы (п.5*п.10)</t>
  </si>
  <si>
    <t>Сумма ежемесяч. процентной надбавки к долж.окладу за работу со сведениями, составляющ. госуд. тайну (п.5*п.12)</t>
  </si>
  <si>
    <t>Сумма ежемесяч. денежного поощрения (п.5*п.14)</t>
  </si>
  <si>
    <t>Сумма районного коэффи-циента и северной надбавки (п.6+п.7+п.9+п.11+п.13+п.15)*п.16</t>
  </si>
  <si>
    <t>ИТОГО Заработная плата в месяц в расчете на год (п.6+п.7+п.9+п.11+п.13+п.15+п.17)</t>
  </si>
  <si>
    <r>
      <t>Единовремен. выплаты при предоставлении ежегодного оплачиваемого отпуска и матер.помощи (п.18+п.20+п.21)/12*</t>
    </r>
    <r>
      <rPr>
        <b/>
        <sz val="9"/>
        <rFont val="Arial Cyr"/>
        <charset val="204"/>
      </rPr>
      <t>3,5</t>
    </r>
  </si>
  <si>
    <t>Для расчета ежегодного оплачиваемого отпуска в размере ежемесячного фонда оплаты труда (п.18/12)</t>
  </si>
  <si>
    <t>Премии за выполнение особо важных и сложных заданий, к юбил. датам и празднич. дням, ежемесяч. (персонал.) выплаты за сложность, напряженность и высокие достижения в работе (кол-во долж. окладов)</t>
  </si>
  <si>
    <t>Макси-мальный долж-ностной оклад с увел. На 1,23 (01.01.2011)</t>
  </si>
  <si>
    <t>Единовремен. премии, премии по результатам работы за квартал, год (п.18+п.20)/12*4,5</t>
  </si>
  <si>
    <t>Муниципальный жилищный инспектор</t>
  </si>
  <si>
    <t>Глава поселения</t>
  </si>
  <si>
    <t>высшая</t>
  </si>
  <si>
    <t>ведущая</t>
  </si>
  <si>
    <t>старшая</t>
  </si>
  <si>
    <t>младшая</t>
  </si>
  <si>
    <t>ЗПЛ в месяц</t>
  </si>
  <si>
    <t>Среднегодовой ФОТ</t>
  </si>
  <si>
    <t>Сумма премии за выполнение особо важных и сложных заданий, к юбил. датам и празднич. дням, ежемесяч. (персонал.) выплаты за сложность, напряженность и высокие достижения в работе (п.5*п.19)*2,2 или 2,5</t>
  </si>
  <si>
    <r>
      <t xml:space="preserve">Должности муниципальной службы, учреждаемые для обеспечения исполнения </t>
    </r>
    <r>
      <rPr>
        <b/>
        <i/>
        <u/>
        <sz val="11"/>
        <rFont val="Arial Cyr"/>
        <charset val="204"/>
      </rPr>
      <t>полномочий местной администрации</t>
    </r>
    <r>
      <rPr>
        <b/>
        <i/>
        <sz val="11"/>
        <rFont val="Arial Cyr"/>
        <charset val="204"/>
      </rPr>
      <t xml:space="preserve"> (исполнительно-распорядительного органа муниципального образования), иных органов местного самоуправления, предусмотренных уставом муниципального образования и обладающих собственными полномочиями по решению вопросов местного значения в муниципальном образовании ХМАО-Югры</t>
    </r>
  </si>
  <si>
    <t>Годовой ФОТ</t>
  </si>
  <si>
    <t>№ п/п</t>
  </si>
  <si>
    <t>наименование показателей</t>
  </si>
  <si>
    <t>схема расчета, дополнительные пояснения</t>
  </si>
  <si>
    <t>п.1 * 12</t>
  </si>
  <si>
    <t>Итого:</t>
  </si>
  <si>
    <t>Расчет средств на выплату:</t>
  </si>
  <si>
    <t>На выплату ежемесячной процентной надбавки за работу в районах Крайнего Севера и приравненных к ним местностях</t>
  </si>
  <si>
    <t>Итого на год:</t>
  </si>
  <si>
    <t>Итого на месяц:</t>
  </si>
  <si>
    <t>Единовременной выплаты при предоставлении ежегодного оплачиваемого отпуска и материальной помощи - в размере 3,5 (трех с половиной) месячных фондов оплаты труда</t>
  </si>
  <si>
    <t>Для расчета ежегодного оплачиваемого отпуска - в размере ежемесячного фонда оплаты труда</t>
  </si>
  <si>
    <t>Формирование фонда оплаты труда лиц, замещающих должности гражданской службы автономного округа</t>
  </si>
  <si>
    <r>
      <t>Расчет суммы средств, направляемых для выплаты должностных окладов:</t>
    </r>
    <r>
      <rPr>
        <b/>
        <sz val="14"/>
        <rFont val="Times New Roman"/>
        <family val="1"/>
        <charset val="204"/>
      </rPr>
      <t/>
    </r>
  </si>
  <si>
    <t>обеспечивающие специалисты, младшие</t>
  </si>
  <si>
    <t xml:space="preserve">Сумма должностных окладов в месяц </t>
  </si>
  <si>
    <t>Сумма должностных окладов на год</t>
  </si>
  <si>
    <t>Оклада за классный чин - в размере 4 (четырех) должностных окладов</t>
  </si>
  <si>
    <t>п.1 * 4</t>
  </si>
  <si>
    <t xml:space="preserve">Ежемесячной надбавки к должностному окладу за выслугу лет - в размере 3 (трех) должностных окладов </t>
  </si>
  <si>
    <t xml:space="preserve">п.1 * 3 </t>
  </si>
  <si>
    <t xml:space="preserve">п.1 * 14 </t>
  </si>
  <si>
    <t>Премий за выполнение особо важных и сложных заданий - в размере 2 (двух) должностных окладов денежного содержания</t>
  </si>
  <si>
    <t>(п.1 + п.3 / 12) * 2</t>
  </si>
  <si>
    <t>сумма данных по пунктам от 2 до пункта 8 включительно</t>
  </si>
  <si>
    <t>Районного коэффициента (коэффициента)</t>
  </si>
  <si>
    <t>п.9 * (70%)</t>
  </si>
  <si>
    <t>п.9 *(50%)</t>
  </si>
  <si>
    <t>п.9 + п.10 + п.11</t>
  </si>
  <si>
    <t>п.12 / 12м/ц</t>
  </si>
  <si>
    <t>Поощрение по результатам работы за квартал, год - в размере 4,5 месячных фондов оплаты труда</t>
  </si>
  <si>
    <t>п.13</t>
  </si>
  <si>
    <t>Итого ФОТ на год:</t>
  </si>
  <si>
    <t>п.12 + п.14 + п.15 + п.16</t>
  </si>
  <si>
    <t>Среднемесячная заработная плата</t>
  </si>
  <si>
    <t>Тех.персонал</t>
  </si>
  <si>
    <t>Всего</t>
  </si>
  <si>
    <r>
      <t>Макси-мальный долж-ностной оклад</t>
    </r>
    <r>
      <rPr>
        <b/>
        <u/>
        <sz val="11"/>
        <rFont val="Arial Cyr"/>
        <charset val="204"/>
      </rPr>
      <t xml:space="preserve"> с 01.01.2019 (округление до целого в большую сторону)</t>
    </r>
  </si>
  <si>
    <t>Расчет расходов по нормативу формирования фонда оплаты труда депутатов, выборных должностных лиц местного самоуправления, осуществляющих свои полномочия на постоянной основе, и муниципальных служащих в ХМАО-Югре (в расчете на год) на 01.01.2019</t>
  </si>
  <si>
    <r>
      <t xml:space="preserve">Расчет  (п.1 * </t>
    </r>
    <r>
      <rPr>
        <b/>
        <sz val="12"/>
        <rFont val="Times New Roman"/>
        <family val="1"/>
        <charset val="204"/>
      </rPr>
      <t>35</t>
    </r>
    <r>
      <rPr>
        <sz val="10"/>
        <rFont val="Times New Roman"/>
        <family val="1"/>
        <charset val="204"/>
      </rPr>
      <t xml:space="preserve">) </t>
    </r>
  </si>
  <si>
    <r>
      <t xml:space="preserve">Расчет бюджетных проектировок по фонду оплаты труда лиц, замещающих государственные должности Ханты-Мансийского автономного округа - Югры, и лиц, замещающих должности государственной гражданской службы Ханты-Мансийского автономного округа - Югры на 2010 год </t>
    </r>
    <r>
      <rPr>
        <sz val="14"/>
        <rFont val="Times New Roman"/>
        <family val="1"/>
        <charset val="204"/>
      </rPr>
      <t xml:space="preserve">(статья 22 главы 4 Закона ХМАО-Югры от 04.04.2005г. № 20-оз 
</t>
    </r>
  </si>
  <si>
    <t>Расчет долж. оклад с увел. на  4 % с 01.01.2018 и 01.01.2019</t>
  </si>
  <si>
    <t>МРОТ</t>
  </si>
  <si>
    <t>БАЗОВЫЙ ОКЛАД</t>
  </si>
  <si>
    <t>Кол-во шт.ед</t>
  </si>
  <si>
    <t>Депутат, осуществляющий полномочия председателя представительного органа МО на постоянной основе</t>
  </si>
  <si>
    <t xml:space="preserve">-  </t>
  </si>
  <si>
    <t>Депутат, осуществляющий полномочия заместителя председателя представительного органа МО на постоянной основе</t>
  </si>
  <si>
    <t>Депутат представительного органа МО, осуществляющий свои полномочия на постоянной основе</t>
  </si>
  <si>
    <t>Председатель избирательной комиссии МО, секретарь избирательной комиссии МО</t>
  </si>
  <si>
    <t>Должности муниципальной службы, учреждаемые для обеспечения исполнения полномочий представительного органа муниципальных образований ХМАО-Югры (Дума МО)</t>
  </si>
  <si>
    <t>Руководитель аппарата</t>
  </si>
  <si>
    <t>Руководитель/ высшая</t>
  </si>
  <si>
    <t>Начальник управления аппарата</t>
  </si>
  <si>
    <t>Заместитель начальника управления аппарата</t>
  </si>
  <si>
    <t>Руководитель/ главная</t>
  </si>
  <si>
    <t>Начальник (заведующий) отдела, службы</t>
  </si>
  <si>
    <t>Помощник, советник, консультант председателя представительного органа МО</t>
  </si>
  <si>
    <t>Помощник (советник)/ главная</t>
  </si>
  <si>
    <t>Пресс-секретарь представительного органа МО</t>
  </si>
  <si>
    <t>Начальник (заведующий) отдела, службы в составе управления / /                      Заведующий сектором (в поселениях)</t>
  </si>
  <si>
    <t>Руководитель/ ведущая</t>
  </si>
  <si>
    <t>Заместитель начальника (заведующего) отдела, службы</t>
  </si>
  <si>
    <t>Консультант</t>
  </si>
  <si>
    <t>Специалист/ ведущая</t>
  </si>
  <si>
    <t>Специалист-эксперт</t>
  </si>
  <si>
    <t>Обеспечивающий специалист/ ведущая</t>
  </si>
  <si>
    <t>Специалист/ старшая</t>
  </si>
  <si>
    <t>Обеспечивающий специалист/ старшая</t>
  </si>
  <si>
    <t>Обеспечивающий специалист/ младшая</t>
  </si>
  <si>
    <t>Должности муниципальной службы, учреждаемые для непосредственного обеспечения исполнения полномочий главы МО ХМАО-Югры</t>
  </si>
  <si>
    <t>Первый заместитель главы МО*</t>
  </si>
  <si>
    <t>Заместитель главы МО*</t>
  </si>
  <si>
    <t>Помощник, советник, консультант главы МО</t>
  </si>
  <si>
    <t>Помощник главы МО</t>
  </si>
  <si>
    <t>Пресс-секретарь главы МО</t>
  </si>
  <si>
    <t>Должности муниципальной службы, учреждаемые для обеспечения исполнения полномочий местной администрации (исполнительно-распорядительного органа МО), иных органов местного самоуправления, предусмотренных уставом муниципального образования и обладающих собственными полномочиями по решению вопросов местного значения в МО ХМАО-Югры</t>
  </si>
  <si>
    <t>Глава администрации МО&lt;*&gt;</t>
  </si>
  <si>
    <t>Первый заместитель главы (главы администрации) МО</t>
  </si>
  <si>
    <t>Заместитель главы (главы администрации) МО</t>
  </si>
  <si>
    <r>
      <t>1,7745</t>
    </r>
    <r>
      <rPr>
        <vertAlign val="superscript"/>
        <sz val="10"/>
        <rFont val="Times New Roman"/>
        <family val="1"/>
        <charset val="204"/>
      </rPr>
      <t>&lt;***&gt;</t>
    </r>
  </si>
  <si>
    <t>Управляющий делами</t>
  </si>
  <si>
    <t>Директор департамента</t>
  </si>
  <si>
    <t>Председатель комитета&lt;**&gt;</t>
  </si>
  <si>
    <t>Начальник управления</t>
  </si>
  <si>
    <t>Заместитель директора департамента</t>
  </si>
  <si>
    <t>Заместитель председателя комитета&lt;**&gt;</t>
  </si>
  <si>
    <t>Заместитель начальника управления</t>
  </si>
  <si>
    <t>Заместитель управляющего делами</t>
  </si>
  <si>
    <t>Председатель комитета в составе департамента</t>
  </si>
  <si>
    <t>Начальник управления в составе департамента, комитета</t>
  </si>
  <si>
    <t>Секретарь комиссии</t>
  </si>
  <si>
    <t>Специалист/ главная</t>
  </si>
  <si>
    <t>Заместитель председателя комитета в составе департамента</t>
  </si>
  <si>
    <t>Заместитель начальника управления в составе департамента, комитета</t>
  </si>
  <si>
    <t>Начальник (заведующий) отдела, службы в составе департамента, комитета, управления</t>
  </si>
  <si>
    <t>Заместитель начальника (заведующего) отдела, службы в составе департамента, комитета, управления</t>
  </si>
  <si>
    <t>Заведующий сектором</t>
  </si>
  <si>
    <t xml:space="preserve">&lt;*&gt; Учреждается в городских поселениях.                                                                                                                                                                   </t>
  </si>
  <si>
    <t xml:space="preserve">&lt;**&gt; Учреждается в поселениях с численностью населения свыше 30000 человек.                     </t>
  </si>
  <si>
    <t>&lt;***&gt; Учреждается в случае, если на территории МО расположены два и более населенных пунктов.</t>
  </si>
  <si>
    <t>Должности муниципальной службы, учреждаемые для обеспечения исполнения полномочий контрольно-счетного органа МО ХМАО - Югры &lt;****&gt;</t>
  </si>
  <si>
    <t>Председатель контрольно-счетного органа МО, созданного представительным органом МО</t>
  </si>
  <si>
    <t>Заместитель председателя контрольно-счетного органа</t>
  </si>
  <si>
    <t>Аудитор</t>
  </si>
  <si>
    <t>-</t>
  </si>
  <si>
    <t>Инспектор</t>
  </si>
  <si>
    <t>Специалист/ младшая</t>
  </si>
  <si>
    <t>от 50000 до 100000</t>
  </si>
  <si>
    <t>от 20000 до 50000</t>
  </si>
  <si>
    <t xml:space="preserve">до 20000 </t>
  </si>
  <si>
    <t>свыше 200000</t>
  </si>
  <si>
    <t>Городской округ, муниципальный район</t>
  </si>
  <si>
    <t>Городские и сельские поселения</t>
  </si>
  <si>
    <t>свыше 30000</t>
  </si>
  <si>
    <t>от 20000 до 30000</t>
  </si>
  <si>
    <t>от 15000 до 20000</t>
  </si>
  <si>
    <t>от 10000 до 15000</t>
  </si>
  <si>
    <t>от 4000 до 10000</t>
  </si>
  <si>
    <t>от 1000 до 4000</t>
  </si>
  <si>
    <t>до 1000</t>
  </si>
  <si>
    <t>Оклад с учётом коэффициента</t>
  </si>
  <si>
    <t>итого</t>
  </si>
  <si>
    <t>Базовый оклад</t>
  </si>
  <si>
    <r>
      <t>Ежемесячной процентной надбавки к должностному окладу за работу со сведениями, составляющими государственную тайну - в размере 7 (семи) должностных окладов</t>
    </r>
    <r>
      <rPr>
        <sz val="10"/>
        <color indexed="10"/>
        <rFont val="Times New Roman"/>
        <family val="1"/>
        <charset val="204"/>
      </rPr>
      <t xml:space="preserve"> ТОЛЬКО В СЛУЧАЕ, если в функциональные обязанности муниципального служащего, входит работа, связанная с допуском к государственной тайне на постоянной основе</t>
    </r>
  </si>
  <si>
    <t>п.1 * 7</t>
  </si>
  <si>
    <t xml:space="preserve">Ежемесячного денежного поощрения - в размере 35 должностных окладов </t>
  </si>
  <si>
    <t>п.13 * 6</t>
  </si>
  <si>
    <t>Поощрение по результатам работы за квартал, год - в размере 6 месячных фондов оплаты труда</t>
  </si>
  <si>
    <t>Единовременной выплаты при предоставлении ежегодного оплачиваемого отпуска и материальной помощи - в размере 2 (двух) месячных фондов оплаты труда</t>
  </si>
  <si>
    <t>п.13 * 2</t>
  </si>
  <si>
    <t>ОТКЛОНЕНИЕ</t>
  </si>
  <si>
    <t>По факту 17 МФОТ</t>
  </si>
  <si>
    <t>Ежемесячной надбавки к должностному окладу за особые условия муниципальной службы автономного округа - в размере 14 (четырнадцати) должностных окладов</t>
  </si>
  <si>
    <t>п.1 * 9</t>
  </si>
  <si>
    <t>п.13 * 4,5</t>
  </si>
  <si>
    <t>п.13 * 3,5</t>
  </si>
  <si>
    <t>Ежемесячной процентной надбавки к должностному окладу за работу со сведениями, составляющими государственную тайну - в размере 9 (девяти) денежных вознаграждений</t>
  </si>
  <si>
    <t>Премий за выполнение особо важных и сложных заданий - в размере 2 (двух) денежных вознаграждений</t>
  </si>
  <si>
    <t>Ежемесячного денежного поощрения - в размере 35 денежных вознаграждений</t>
  </si>
  <si>
    <t>п.1 * 2</t>
  </si>
  <si>
    <r>
      <t>Сумма должностных окладов в месяц</t>
    </r>
    <r>
      <rPr>
        <sz val="10"/>
        <color indexed="10"/>
        <rFont val="Times New Roman"/>
        <family val="1"/>
        <charset val="204"/>
      </rPr>
      <t xml:space="preserve"> С УЧЁТОМ ПОВЫШАЮЩЕГО КОЭФФИЦИЕНТА 1,3 (АБЗАЦ 2 ПУНКТА 5)</t>
    </r>
  </si>
  <si>
    <t>Кол-во шт.ед имеющих гос.тайну</t>
  </si>
  <si>
    <r>
      <t xml:space="preserve">Оклад с учётом коэффициента и </t>
    </r>
    <r>
      <rPr>
        <b/>
        <sz val="10"/>
        <rFont val="Times New Roman"/>
        <family val="1"/>
        <charset val="204"/>
      </rPr>
      <t>с учётом гос.тайны</t>
    </r>
  </si>
  <si>
    <t xml:space="preserve">Кол-во шт.ед исполняющих полномочие </t>
  </si>
  <si>
    <r>
      <t xml:space="preserve">ИТОГО Оклад с учётом коэффициента и </t>
    </r>
    <r>
      <rPr>
        <b/>
        <sz val="10"/>
        <rFont val="Times New Roman"/>
        <family val="1"/>
        <charset val="204"/>
      </rPr>
      <t>с учётом гос.тайны</t>
    </r>
  </si>
  <si>
    <t xml:space="preserve">ИТОГО Оклад с учётом коэффициента </t>
  </si>
  <si>
    <t>ИТОГО Оклад с учётом коэффициента и переданных полномочий</t>
  </si>
  <si>
    <r>
      <t>Сумма должностных окладов в месяц</t>
    </r>
    <r>
      <rPr>
        <sz val="10"/>
        <color indexed="10"/>
        <rFont val="Times New Roman"/>
        <family val="1"/>
        <charset val="204"/>
      </rPr>
      <t xml:space="preserve"> </t>
    </r>
  </si>
  <si>
    <t>По факту ГФОТ</t>
  </si>
  <si>
    <t>от 1000 до 4000 Русскинская</t>
  </si>
  <si>
    <t>ИТОГО Русскинская</t>
  </si>
  <si>
    <t>Ежемесячной процентной надбавки к должностному окладу за работу со сведениями, составляющими государственную тайну - в размере 4 денежных вознаграждений</t>
  </si>
  <si>
    <t>Единовременной выплаты при предоставлении ежегодного оплачиваемого отпуска и материальной помощи - в размере 2 месячных фондов оплаты труда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</si>
</sst>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72" formatCode="#,##0.0"/>
  </numFmts>
  <fonts count="37"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10"/>
      <name val="Arial Cyr"/>
      <charset val="204"/>
    </font>
    <font>
      <sz val="9"/>
      <name val="Arial Cyr"/>
      <family val="2"/>
      <charset val="204"/>
    </font>
    <font>
      <b/>
      <sz val="12"/>
      <color indexed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sz val="13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8"/>
      <name val="Arial Cyr"/>
      <family val="2"/>
      <charset val="204"/>
    </font>
    <font>
      <b/>
      <sz val="16"/>
      <name val="Arial Cyr"/>
      <charset val="204"/>
    </font>
    <font>
      <b/>
      <i/>
      <sz val="11"/>
      <name val="Arial Cyr"/>
      <charset val="204"/>
    </font>
    <font>
      <b/>
      <i/>
      <u/>
      <sz val="11"/>
      <name val="Arial Cyr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Arial Cyr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/>
    <xf numFmtId="3" fontId="4" fillId="0" borderId="1" xfId="0" applyNumberFormat="1" applyFont="1" applyFill="1" applyBorder="1"/>
    <xf numFmtId="172" fontId="4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0" fontId="3" fillId="0" borderId="1" xfId="0" applyFont="1" applyFill="1" applyBorder="1"/>
    <xf numFmtId="9" fontId="3" fillId="0" borderId="1" xfId="0" applyNumberFormat="1" applyFont="1" applyFill="1" applyBorder="1"/>
    <xf numFmtId="3" fontId="2" fillId="0" borderId="1" xfId="0" applyNumberFormat="1" applyFont="1" applyFill="1" applyBorder="1"/>
    <xf numFmtId="0" fontId="0" fillId="0" borderId="0" xfId="0" applyBorder="1"/>
    <xf numFmtId="0" fontId="7" fillId="0" borderId="0" xfId="0" applyFont="1" applyBorder="1" applyAlignment="1"/>
    <xf numFmtId="3" fontId="13" fillId="0" borderId="1" xfId="0" applyNumberFormat="1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/>
    <xf numFmtId="3" fontId="4" fillId="0" borderId="2" xfId="0" applyNumberFormat="1" applyFont="1" applyFill="1" applyBorder="1"/>
    <xf numFmtId="3" fontId="5" fillId="0" borderId="1" xfId="0" applyNumberFormat="1" applyFont="1" applyFill="1" applyBorder="1" applyAlignment="1"/>
    <xf numFmtId="3" fontId="4" fillId="0" borderId="4" xfId="0" applyNumberFormat="1" applyFont="1" applyFill="1" applyBorder="1"/>
    <xf numFmtId="0" fontId="9" fillId="0" borderId="0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/>
    </xf>
    <xf numFmtId="0" fontId="9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13" fillId="0" borderId="1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left" vertical="center"/>
    </xf>
    <xf numFmtId="172" fontId="4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11" fillId="0" borderId="0" xfId="0" applyFont="1" applyFill="1" applyBorder="1"/>
    <xf numFmtId="0" fontId="16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72" fontId="5" fillId="0" borderId="1" xfId="0" applyNumberFormat="1" applyFont="1" applyFill="1" applyBorder="1"/>
    <xf numFmtId="172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16" fillId="0" borderId="0" xfId="0" applyFont="1" applyFill="1"/>
    <xf numFmtId="0" fontId="15" fillId="0" borderId="0" xfId="0" applyFont="1" applyFill="1"/>
    <xf numFmtId="0" fontId="6" fillId="0" borderId="0" xfId="0" applyFont="1" applyFill="1"/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1" fontId="28" fillId="0" borderId="1" xfId="0" applyNumberFormat="1" applyFont="1" applyFill="1" applyBorder="1" applyAlignment="1"/>
    <xf numFmtId="0" fontId="27" fillId="3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1" fontId="28" fillId="3" borderId="1" xfId="0" applyNumberFormat="1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41" fontId="23" fillId="3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textRotation="90" wrapText="1"/>
    </xf>
    <xf numFmtId="3" fontId="3" fillId="6" borderId="1" xfId="0" applyNumberFormat="1" applyFont="1" applyFill="1" applyBorder="1"/>
    <xf numFmtId="0" fontId="12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vertical="top" wrapText="1"/>
    </xf>
    <xf numFmtId="3" fontId="3" fillId="7" borderId="1" xfId="0" applyNumberFormat="1" applyFont="1" applyFill="1" applyBorder="1"/>
    <xf numFmtId="3" fontId="13" fillId="7" borderId="1" xfId="0" applyNumberFormat="1" applyFont="1" applyFill="1" applyBorder="1"/>
    <xf numFmtId="172" fontId="5" fillId="7" borderId="1" xfId="0" applyNumberFormat="1" applyFont="1" applyFill="1" applyBorder="1"/>
    <xf numFmtId="3" fontId="5" fillId="7" borderId="1" xfId="0" applyNumberFormat="1" applyFont="1" applyFill="1" applyBorder="1" applyAlignment="1"/>
    <xf numFmtId="3" fontId="4" fillId="7" borderId="2" xfId="0" applyNumberFormat="1" applyFont="1" applyFill="1" applyBorder="1"/>
    <xf numFmtId="3" fontId="4" fillId="7" borderId="8" xfId="0" applyNumberFormat="1" applyFont="1" applyFill="1" applyBorder="1"/>
    <xf numFmtId="0" fontId="3" fillId="7" borderId="3" xfId="0" applyFont="1" applyFill="1" applyBorder="1"/>
    <xf numFmtId="3" fontId="4" fillId="7" borderId="1" xfId="0" applyNumberFormat="1" applyFont="1" applyFill="1" applyBorder="1"/>
    <xf numFmtId="0" fontId="3" fillId="7" borderId="1" xfId="0" applyFont="1" applyFill="1" applyBorder="1"/>
    <xf numFmtId="9" fontId="3" fillId="7" borderId="1" xfId="0" applyNumberFormat="1" applyFont="1" applyFill="1" applyBorder="1"/>
    <xf numFmtId="172" fontId="4" fillId="7" borderId="1" xfId="0" applyNumberFormat="1" applyFont="1" applyFill="1" applyBorder="1"/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4" fillId="0" borderId="9" xfId="0" applyNumberFormat="1" applyFont="1" applyFill="1" applyBorder="1"/>
    <xf numFmtId="9" fontId="4" fillId="0" borderId="1" xfId="0" applyNumberFormat="1" applyFont="1" applyFill="1" applyBorder="1"/>
    <xf numFmtId="3" fontId="28" fillId="6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3" fontId="28" fillId="6" borderId="1" xfId="0" applyNumberFormat="1" applyFont="1" applyFill="1" applyBorder="1" applyAlignment="1">
      <alignment horizontal="center"/>
    </xf>
    <xf numFmtId="3" fontId="29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3" fontId="28" fillId="8" borderId="1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vertical="center" wrapText="1"/>
    </xf>
    <xf numFmtId="0" fontId="0" fillId="9" borderId="0" xfId="0" applyFill="1" applyBorder="1"/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" fontId="0" fillId="10" borderId="0" xfId="0" applyNumberFormat="1" applyFill="1"/>
    <xf numFmtId="4" fontId="23" fillId="10" borderId="23" xfId="0" applyNumberFormat="1" applyFont="1" applyFill="1" applyBorder="1" applyAlignment="1">
      <alignment horizontal="center" vertical="center" wrapText="1"/>
    </xf>
    <xf numFmtId="4" fontId="23" fillId="10" borderId="13" xfId="0" applyNumberFormat="1" applyFont="1" applyFill="1" applyBorder="1" applyAlignment="1">
      <alignment horizontal="center" vertical="center" wrapText="1"/>
    </xf>
    <xf numFmtId="4" fontId="23" fillId="10" borderId="19" xfId="0" applyNumberFormat="1" applyFont="1" applyFill="1" applyBorder="1" applyAlignment="1">
      <alignment horizontal="center" vertical="center" wrapText="1"/>
    </xf>
    <xf numFmtId="4" fontId="23" fillId="10" borderId="14" xfId="0" applyNumberFormat="1" applyFont="1" applyFill="1" applyBorder="1" applyAlignment="1">
      <alignment vertical="center" wrapText="1"/>
    </xf>
    <xf numFmtId="4" fontId="23" fillId="10" borderId="0" xfId="0" applyNumberFormat="1" applyFont="1" applyFill="1" applyBorder="1" applyAlignment="1">
      <alignment horizontal="center" vertical="center" wrapText="1"/>
    </xf>
    <xf numFmtId="4" fontId="23" fillId="10" borderId="0" xfId="0" applyNumberFormat="1" applyFont="1" applyFill="1" applyBorder="1" applyAlignment="1">
      <alignment vertical="center" wrapText="1"/>
    </xf>
    <xf numFmtId="4" fontId="23" fillId="10" borderId="4" xfId="0" applyNumberFormat="1" applyFont="1" applyFill="1" applyBorder="1" applyAlignment="1">
      <alignment horizontal="center" vertical="center" wrapText="1"/>
    </xf>
    <xf numFmtId="4" fontId="23" fillId="10" borderId="8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/>
    </xf>
    <xf numFmtId="0" fontId="28" fillId="7" borderId="1" xfId="0" applyFont="1" applyFill="1" applyBorder="1" applyAlignment="1">
      <alignment horizontal="center" vertical="center" wrapText="1"/>
    </xf>
    <xf numFmtId="4" fontId="28" fillId="7" borderId="1" xfId="0" applyNumberFormat="1" applyFont="1" applyFill="1" applyBorder="1" applyAlignment="1">
      <alignment horizontal="center" vertical="center" wrapText="1"/>
    </xf>
    <xf numFmtId="3" fontId="27" fillId="11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23" fillId="9" borderId="1" xfId="0" applyNumberFormat="1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23" fillId="9" borderId="0" xfId="0" applyNumberFormat="1" applyFont="1" applyFill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" fontId="23" fillId="10" borderId="1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5" borderId="12" xfId="0" applyFont="1" applyFill="1" applyBorder="1" applyAlignment="1">
      <alignment vertical="center" wrapText="1"/>
    </xf>
    <xf numFmtId="0" fontId="23" fillId="11" borderId="17" xfId="0" applyFont="1" applyFill="1" applyBorder="1" applyAlignment="1">
      <alignment horizontal="center" vertical="center" wrapText="1"/>
    </xf>
    <xf numFmtId="4" fontId="0" fillId="11" borderId="0" xfId="0" applyNumberFormat="1" applyFill="1"/>
    <xf numFmtId="4" fontId="23" fillId="11" borderId="0" xfId="0" applyNumberFormat="1" applyFont="1" applyFill="1" applyBorder="1" applyAlignment="1">
      <alignment horizontal="center"/>
    </xf>
    <xf numFmtId="4" fontId="23" fillId="11" borderId="4" xfId="0" applyNumberFormat="1" applyFont="1" applyFill="1" applyBorder="1" applyAlignment="1">
      <alignment horizontal="center" vertical="center" wrapText="1"/>
    </xf>
    <xf numFmtId="4" fontId="23" fillId="11" borderId="8" xfId="0" applyNumberFormat="1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4" fontId="28" fillId="11" borderId="1" xfId="0" applyNumberFormat="1" applyFont="1" applyFill="1" applyBorder="1" applyAlignment="1">
      <alignment horizontal="center" vertical="center" wrapText="1"/>
    </xf>
    <xf numFmtId="4" fontId="23" fillId="11" borderId="13" xfId="0" applyNumberFormat="1" applyFont="1" applyFill="1" applyBorder="1" applyAlignment="1">
      <alignment horizontal="center" vertical="center" wrapText="1"/>
    </xf>
    <xf numFmtId="4" fontId="23" fillId="11" borderId="14" xfId="0" applyNumberFormat="1" applyFont="1" applyFill="1" applyBorder="1" applyAlignment="1">
      <alignment vertical="center" wrapText="1"/>
    </xf>
    <xf numFmtId="4" fontId="23" fillId="11" borderId="0" xfId="0" applyNumberFormat="1" applyFont="1" applyFill="1" applyBorder="1" applyAlignment="1">
      <alignment vertical="center" wrapText="1"/>
    </xf>
    <xf numFmtId="4" fontId="23" fillId="11" borderId="19" xfId="0" applyNumberFormat="1" applyFont="1" applyFill="1" applyBorder="1" applyAlignment="1">
      <alignment horizontal="center" vertical="center" wrapText="1"/>
    </xf>
    <xf numFmtId="4" fontId="23" fillId="11" borderId="0" xfId="0" applyNumberFormat="1" applyFont="1" applyFill="1" applyBorder="1" applyAlignment="1">
      <alignment horizontal="center" vertical="center" wrapText="1"/>
    </xf>
    <xf numFmtId="3" fontId="23" fillId="11" borderId="1" xfId="0" applyNumberFormat="1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vertical="center"/>
    </xf>
    <xf numFmtId="0" fontId="27" fillId="13" borderId="3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4" fontId="27" fillId="13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0" fontId="23" fillId="5" borderId="17" xfId="0" applyFont="1" applyFill="1" applyBorder="1" applyAlignment="1">
      <alignment horizontal="center" vertical="center" wrapText="1"/>
    </xf>
    <xf numFmtId="4" fontId="0" fillId="5" borderId="0" xfId="0" applyNumberFormat="1" applyFill="1"/>
    <xf numFmtId="4" fontId="23" fillId="5" borderId="0" xfId="0" applyNumberFormat="1" applyFont="1" applyFill="1" applyBorder="1" applyAlignment="1">
      <alignment horizontal="center"/>
    </xf>
    <xf numFmtId="4" fontId="23" fillId="5" borderId="4" xfId="0" applyNumberFormat="1" applyFont="1" applyFill="1" applyBorder="1" applyAlignment="1">
      <alignment horizontal="center" vertical="center" wrapText="1"/>
    </xf>
    <xf numFmtId="4" fontId="23" fillId="5" borderId="8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center" vertical="center" wrapText="1"/>
    </xf>
    <xf numFmtId="4" fontId="23" fillId="5" borderId="13" xfId="0" applyNumberFormat="1" applyFont="1" applyFill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4" fontId="23" fillId="5" borderId="14" xfId="0" applyNumberFormat="1" applyFont="1" applyFill="1" applyBorder="1" applyAlignment="1">
      <alignment vertical="center" wrapText="1"/>
    </xf>
    <xf numFmtId="4" fontId="23" fillId="5" borderId="0" xfId="0" applyNumberFormat="1" applyFont="1" applyFill="1" applyBorder="1" applyAlignment="1">
      <alignment vertical="center" wrapText="1"/>
    </xf>
    <xf numFmtId="4" fontId="23" fillId="5" borderId="19" xfId="0" applyNumberFormat="1" applyFont="1" applyFill="1" applyBorder="1" applyAlignment="1">
      <alignment horizontal="center" vertical="center" wrapText="1"/>
    </xf>
    <xf numFmtId="4" fontId="23" fillId="5" borderId="0" xfId="0" applyNumberFormat="1" applyFont="1" applyFill="1" applyBorder="1" applyAlignment="1">
      <alignment horizontal="center" vertical="center" wrapText="1"/>
    </xf>
    <xf numFmtId="4" fontId="23" fillId="10" borderId="26" xfId="0" applyNumberFormat="1" applyFont="1" applyFill="1" applyBorder="1" applyAlignment="1">
      <alignment horizontal="center" vertical="center" wrapText="1"/>
    </xf>
    <xf numFmtId="4" fontId="23" fillId="10" borderId="24" xfId="0" applyNumberFormat="1" applyFont="1" applyFill="1" applyBorder="1" applyAlignment="1">
      <alignment horizontal="center" vertical="center" wrapText="1"/>
    </xf>
    <xf numFmtId="4" fontId="23" fillId="10" borderId="27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3" fillId="5" borderId="27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horizontal="center" vertical="center" wrapText="1"/>
    </xf>
    <xf numFmtId="4" fontId="23" fillId="11" borderId="26" xfId="0" applyNumberFormat="1" applyFont="1" applyFill="1" applyBorder="1" applyAlignment="1">
      <alignment horizontal="center" vertical="center" wrapText="1"/>
    </xf>
    <xf numFmtId="4" fontId="23" fillId="11" borderId="24" xfId="0" applyNumberFormat="1" applyFont="1" applyFill="1" applyBorder="1" applyAlignment="1">
      <alignment horizontal="center" vertical="center" wrapText="1"/>
    </xf>
    <xf numFmtId="4" fontId="23" fillId="11" borderId="27" xfId="0" applyNumberFormat="1" applyFont="1" applyFill="1" applyBorder="1" applyAlignment="1">
      <alignment horizontal="center" vertical="center" wrapText="1"/>
    </xf>
    <xf numFmtId="4" fontId="23" fillId="11" borderId="10" xfId="0" applyNumberFormat="1" applyFont="1" applyFill="1" applyBorder="1" applyAlignment="1">
      <alignment horizontal="center" vertical="center" wrapText="1"/>
    </xf>
    <xf numFmtId="4" fontId="23" fillId="5" borderId="26" xfId="0" applyNumberFormat="1" applyFont="1" applyFill="1" applyBorder="1" applyAlignment="1">
      <alignment horizontal="center" vertical="center" wrapText="1"/>
    </xf>
    <xf numFmtId="4" fontId="23" fillId="5" borderId="24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4" fontId="23" fillId="10" borderId="28" xfId="0" applyNumberFormat="1" applyFont="1" applyFill="1" applyBorder="1" applyAlignment="1">
      <alignment horizontal="center" vertical="center" wrapText="1"/>
    </xf>
    <xf numFmtId="4" fontId="23" fillId="10" borderId="5" xfId="0" applyNumberFormat="1" applyFont="1" applyFill="1" applyBorder="1" applyAlignment="1">
      <alignment horizontal="center" vertical="center" wrapText="1"/>
    </xf>
    <xf numFmtId="4" fontId="23" fillId="11" borderId="28" xfId="0" applyNumberFormat="1" applyFont="1" applyFill="1" applyBorder="1" applyAlignment="1">
      <alignment horizontal="center" vertical="center" wrapText="1"/>
    </xf>
    <xf numFmtId="4" fontId="23" fillId="11" borderId="5" xfId="0" applyNumberFormat="1" applyFont="1" applyFill="1" applyBorder="1" applyAlignment="1">
      <alignment horizontal="center" vertical="center" wrapText="1"/>
    </xf>
    <xf numFmtId="4" fontId="23" fillId="5" borderId="28" xfId="0" applyNumberFormat="1" applyFont="1" applyFill="1" applyBorder="1" applyAlignment="1">
      <alignment horizontal="center" vertical="center" wrapText="1"/>
    </xf>
    <xf numFmtId="4" fontId="23" fillId="5" borderId="5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4" fontId="23" fillId="10" borderId="31" xfId="0" applyNumberFormat="1" applyFont="1" applyFill="1" applyBorder="1" applyAlignment="1">
      <alignment horizontal="center" vertical="center" wrapText="1"/>
    </xf>
    <xf numFmtId="4" fontId="23" fillId="10" borderId="20" xfId="0" applyNumberFormat="1" applyFont="1" applyFill="1" applyBorder="1" applyAlignment="1">
      <alignment horizontal="center" vertical="center" wrapText="1"/>
    </xf>
    <xf numFmtId="0" fontId="0" fillId="14" borderId="0" xfId="0" applyFill="1"/>
    <xf numFmtId="0" fontId="23" fillId="14" borderId="17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8" fillId="14" borderId="22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/>
    </xf>
    <xf numFmtId="0" fontId="23" fillId="14" borderId="14" xfId="0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23" fillId="0" borderId="3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8" borderId="26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28" fillId="8" borderId="37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13" borderId="2" xfId="0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 vertical="center"/>
    </xf>
    <xf numFmtId="0" fontId="28" fillId="8" borderId="24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8" fillId="8" borderId="3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0" fontId="23" fillId="12" borderId="2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7" zoomScale="70" zoomScaleNormal="70" workbookViewId="0">
      <selection activeCell="D34" sqref="D34"/>
    </sheetView>
  </sheetViews>
  <sheetFormatPr defaultRowHeight="12.75"/>
  <cols>
    <col min="1" max="1" width="4.42578125" style="65" customWidth="1"/>
    <col min="2" max="2" width="49.28515625" style="66" customWidth="1"/>
    <col min="3" max="3" width="23.5703125" style="66" customWidth="1"/>
    <col min="4" max="4" width="17" style="66" customWidth="1"/>
    <col min="5" max="5" width="12" style="66" customWidth="1"/>
    <col min="6" max="16384" width="9.140625" style="66"/>
  </cols>
  <sheetData>
    <row r="1" spans="1:8" ht="15.75" customHeight="1">
      <c r="C1" s="67"/>
      <c r="D1" s="65"/>
    </row>
    <row r="2" spans="1:8" ht="112.5" customHeight="1">
      <c r="A2" s="249" t="s">
        <v>91</v>
      </c>
      <c r="B2" s="249"/>
      <c r="C2" s="249"/>
      <c r="D2" s="249"/>
    </row>
    <row r="3" spans="1:8" ht="48" customHeight="1">
      <c r="A3" s="74"/>
      <c r="B3" s="250" t="s">
        <v>63</v>
      </c>
      <c r="C3" s="250"/>
      <c r="D3" s="250"/>
      <c r="H3" s="173"/>
    </row>
    <row r="4" spans="1:8" s="70" customFormat="1" ht="26.25" customHeight="1">
      <c r="A4" s="69" t="s">
        <v>52</v>
      </c>
      <c r="B4" s="75" t="s">
        <v>53</v>
      </c>
      <c r="C4" s="76" t="s">
        <v>54</v>
      </c>
      <c r="D4" s="76"/>
    </row>
    <row r="5" spans="1:8" ht="106.5" customHeight="1">
      <c r="A5" s="77" t="s">
        <v>64</v>
      </c>
      <c r="B5" s="77"/>
      <c r="C5" s="77"/>
      <c r="D5" s="78" t="s">
        <v>5</v>
      </c>
    </row>
    <row r="6" spans="1:8" ht="45" customHeight="1">
      <c r="A6" s="77"/>
      <c r="B6" s="77"/>
      <c r="C6" s="77"/>
      <c r="D6" s="78" t="s">
        <v>65</v>
      </c>
    </row>
    <row r="7" spans="1:8" ht="27" customHeight="1">
      <c r="A7" s="79">
        <v>1</v>
      </c>
      <c r="B7" s="71" t="s">
        <v>66</v>
      </c>
      <c r="C7" s="124" t="s">
        <v>94</v>
      </c>
      <c r="D7" s="123" t="e">
        <f>#REF!</f>
        <v>#REF!</v>
      </c>
    </row>
    <row r="8" spans="1:8" ht="18" customHeight="1">
      <c r="A8" s="79">
        <v>2</v>
      </c>
      <c r="B8" s="71" t="s">
        <v>67</v>
      </c>
      <c r="C8" s="71" t="s">
        <v>55</v>
      </c>
      <c r="D8" s="90" t="e">
        <f>D7*12</f>
        <v>#REF!</v>
      </c>
    </row>
    <row r="9" spans="1:8" ht="25.5">
      <c r="A9" s="79">
        <v>3</v>
      </c>
      <c r="B9" s="172" t="s">
        <v>68</v>
      </c>
      <c r="C9" s="71"/>
      <c r="D9" s="90"/>
    </row>
    <row r="10" spans="1:8" ht="29.25" customHeight="1">
      <c r="A10" s="79">
        <v>4</v>
      </c>
      <c r="B10" s="172" t="s">
        <v>70</v>
      </c>
      <c r="C10" s="71"/>
      <c r="D10" s="90"/>
    </row>
    <row r="11" spans="1:8" ht="43.5" customHeight="1">
      <c r="A11" s="79">
        <v>5</v>
      </c>
      <c r="B11" s="172" t="s">
        <v>184</v>
      </c>
      <c r="C11" s="71"/>
      <c r="D11" s="90"/>
    </row>
    <row r="12" spans="1:8" ht="108.75" customHeight="1">
      <c r="A12" s="79">
        <v>6</v>
      </c>
      <c r="B12" s="71" t="s">
        <v>188</v>
      </c>
      <c r="C12" s="171" t="s">
        <v>185</v>
      </c>
      <c r="D12" s="90" t="e">
        <f>D7*9</f>
        <v>#REF!</v>
      </c>
    </row>
    <row r="13" spans="1:8" ht="52.5" customHeight="1">
      <c r="A13" s="79">
        <v>7</v>
      </c>
      <c r="B13" s="71" t="s">
        <v>189</v>
      </c>
      <c r="C13" s="171" t="s">
        <v>191</v>
      </c>
      <c r="D13" s="170" t="e">
        <f>D7*2</f>
        <v>#REF!</v>
      </c>
    </row>
    <row r="14" spans="1:8" ht="40.5" customHeight="1">
      <c r="A14" s="79">
        <v>8</v>
      </c>
      <c r="B14" s="71" t="s">
        <v>190</v>
      </c>
      <c r="C14" s="171" t="s">
        <v>90</v>
      </c>
      <c r="D14" s="90" t="e">
        <f>D7*35</f>
        <v>#REF!</v>
      </c>
      <c r="E14" s="121" t="s">
        <v>93</v>
      </c>
    </row>
    <row r="15" spans="1:8" ht="39" customHeight="1">
      <c r="A15" s="79">
        <v>9</v>
      </c>
      <c r="B15" s="72" t="s">
        <v>56</v>
      </c>
      <c r="C15" s="71" t="s">
        <v>75</v>
      </c>
      <c r="D15" s="91" t="e">
        <f>D8+D9+D10+D11+D12+D13+D14</f>
        <v>#REF!</v>
      </c>
      <c r="E15" s="91">
        <v>11163</v>
      </c>
    </row>
    <row r="16" spans="1:8" ht="14.25" customHeight="1">
      <c r="A16" s="251" t="s">
        <v>57</v>
      </c>
      <c r="B16" s="252"/>
      <c r="C16" s="252"/>
      <c r="D16" s="92"/>
    </row>
    <row r="17" spans="1:5" ht="18.75" customHeight="1">
      <c r="A17" s="71">
        <v>10</v>
      </c>
      <c r="B17" s="71" t="s">
        <v>76</v>
      </c>
      <c r="C17" s="71" t="s">
        <v>77</v>
      </c>
      <c r="D17" s="90" t="e">
        <f>D15*0.7</f>
        <v>#REF!</v>
      </c>
      <c r="E17" s="90">
        <f>E15*0.7</f>
        <v>7814</v>
      </c>
    </row>
    <row r="18" spans="1:5" ht="35.25" customHeight="1">
      <c r="A18" s="71">
        <v>11</v>
      </c>
      <c r="B18" s="71" t="s">
        <v>58</v>
      </c>
      <c r="C18" s="71" t="s">
        <v>78</v>
      </c>
      <c r="D18" s="90" t="e">
        <f>D15*0.5</f>
        <v>#REF!</v>
      </c>
      <c r="E18" s="90">
        <f>E15*0.5</f>
        <v>5582</v>
      </c>
    </row>
    <row r="19" spans="1:5" ht="16.5" customHeight="1">
      <c r="A19" s="71">
        <v>12</v>
      </c>
      <c r="B19" s="72" t="s">
        <v>59</v>
      </c>
      <c r="C19" s="71" t="s">
        <v>79</v>
      </c>
      <c r="D19" s="91" t="e">
        <f>D15+D17+D18</f>
        <v>#REF!</v>
      </c>
      <c r="E19" s="87"/>
    </row>
    <row r="20" spans="1:5" ht="16.5" customHeight="1">
      <c r="A20" s="80">
        <v>13</v>
      </c>
      <c r="B20" s="81" t="s">
        <v>60</v>
      </c>
      <c r="C20" s="80" t="s">
        <v>80</v>
      </c>
      <c r="D20" s="120" t="e">
        <f>D19/12</f>
        <v>#REF!</v>
      </c>
      <c r="E20" s="122">
        <f>E15+E17+E18</f>
        <v>24559</v>
      </c>
    </row>
    <row r="21" spans="1:5" ht="35.25" customHeight="1">
      <c r="A21" s="71">
        <v>14</v>
      </c>
      <c r="B21" s="71" t="s">
        <v>81</v>
      </c>
      <c r="C21" s="71" t="s">
        <v>186</v>
      </c>
      <c r="D21" s="90" t="e">
        <f>D20*4.5</f>
        <v>#REF!</v>
      </c>
    </row>
    <row r="22" spans="1:5" ht="56.25" customHeight="1">
      <c r="A22" s="71">
        <v>15</v>
      </c>
      <c r="B22" s="71" t="s">
        <v>61</v>
      </c>
      <c r="C22" s="71" t="s">
        <v>187</v>
      </c>
      <c r="D22" s="90" t="e">
        <f>D20*3.5</f>
        <v>#REF!</v>
      </c>
    </row>
    <row r="23" spans="1:5" ht="38.25" customHeight="1">
      <c r="A23" s="71">
        <v>16</v>
      </c>
      <c r="B23" s="71" t="s">
        <v>62</v>
      </c>
      <c r="C23" s="71" t="s">
        <v>82</v>
      </c>
      <c r="D23" s="90" t="e">
        <f>D20</f>
        <v>#REF!</v>
      </c>
    </row>
    <row r="24" spans="1:5" ht="18" customHeight="1">
      <c r="A24" s="71">
        <v>17</v>
      </c>
      <c r="B24" s="72" t="s">
        <v>83</v>
      </c>
      <c r="C24" s="71" t="s">
        <v>84</v>
      </c>
      <c r="D24" s="125" t="e">
        <f>D19+D21+D22+D23</f>
        <v>#REF!</v>
      </c>
    </row>
    <row r="25" spans="1:5" ht="18" hidden="1" customHeight="1">
      <c r="A25" s="68"/>
      <c r="B25" s="82" t="s">
        <v>85</v>
      </c>
      <c r="C25" s="83"/>
      <c r="D25" s="84" t="e">
        <f>D24/12</f>
        <v>#REF!</v>
      </c>
    </row>
    <row r="26" spans="1:5" ht="18" hidden="1" customHeight="1">
      <c r="A26" s="85"/>
      <c r="B26" s="82"/>
      <c r="C26" s="83"/>
      <c r="D26" s="86" t="e">
        <f>D24/21</f>
        <v>#REF!</v>
      </c>
    </row>
    <row r="27" spans="1:5" hidden="1">
      <c r="C27" s="87" t="s">
        <v>86</v>
      </c>
    </row>
    <row r="28" spans="1:5" hidden="1">
      <c r="C28" s="88"/>
    </row>
    <row r="29" spans="1:5" ht="18" hidden="1" customHeight="1">
      <c r="C29" s="87" t="s">
        <v>87</v>
      </c>
      <c r="D29" s="73" t="e">
        <f>(624000*30.2%)+((D24-(624000*30.2%))*10.2%)</f>
        <v>#REF!</v>
      </c>
    </row>
    <row r="30" spans="1:5" ht="18" hidden="1" customHeight="1">
      <c r="D30" s="73" t="e">
        <f>(678000*30.2%)+((D24-(678000*30.2%))*10.2%)</f>
        <v>#REF!</v>
      </c>
    </row>
    <row r="31" spans="1:5" ht="18" hidden="1" customHeight="1">
      <c r="D31" s="73" t="e">
        <f>(740000*30.2%)+((D24-(740000*30.2%))*10.2%)</f>
        <v>#REF!</v>
      </c>
    </row>
    <row r="32" spans="1:5" hidden="1"/>
    <row r="33" spans="3:4" hidden="1"/>
    <row r="34" spans="3:4" ht="21.6" customHeight="1">
      <c r="C34" s="168" t="s">
        <v>183</v>
      </c>
      <c r="D34" s="167">
        <f>376112*17</f>
        <v>6393904</v>
      </c>
    </row>
    <row r="35" spans="3:4" ht="15.75">
      <c r="C35" s="168" t="s">
        <v>182</v>
      </c>
      <c r="D35" s="169" t="e">
        <f>D24-D34</f>
        <v>#REF!</v>
      </c>
    </row>
  </sheetData>
  <mergeCells count="3">
    <mergeCell ref="A2:D2"/>
    <mergeCell ref="B3:D3"/>
    <mergeCell ref="A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7" zoomScale="70" zoomScaleNormal="70" workbookViewId="0">
      <selection activeCell="D34" sqref="D34"/>
    </sheetView>
  </sheetViews>
  <sheetFormatPr defaultRowHeight="12.75"/>
  <cols>
    <col min="1" max="1" width="4.42578125" style="65" customWidth="1"/>
    <col min="2" max="2" width="49.28515625" style="66" customWidth="1"/>
    <col min="3" max="3" width="23.5703125" style="66" customWidth="1"/>
    <col min="4" max="4" width="17" style="66" customWidth="1"/>
    <col min="5" max="5" width="12" style="66" customWidth="1"/>
    <col min="6" max="16384" width="9.140625" style="66"/>
  </cols>
  <sheetData>
    <row r="1" spans="1:8" ht="15.75" customHeight="1">
      <c r="C1" s="67"/>
      <c r="D1" s="65"/>
    </row>
    <row r="2" spans="1:8" ht="112.5" customHeight="1">
      <c r="A2" s="249" t="s">
        <v>91</v>
      </c>
      <c r="B2" s="249"/>
      <c r="C2" s="249"/>
      <c r="D2" s="249"/>
    </row>
    <row r="3" spans="1:8" ht="48" customHeight="1">
      <c r="A3" s="74"/>
      <c r="B3" s="250" t="s">
        <v>63</v>
      </c>
      <c r="C3" s="250"/>
      <c r="D3" s="250"/>
      <c r="H3" s="173"/>
    </row>
    <row r="4" spans="1:8" s="70" customFormat="1" ht="26.25" customHeight="1">
      <c r="A4" s="69" t="s">
        <v>52</v>
      </c>
      <c r="B4" s="75" t="s">
        <v>53</v>
      </c>
      <c r="C4" s="76" t="s">
        <v>54</v>
      </c>
      <c r="D4" s="76"/>
    </row>
    <row r="5" spans="1:8" ht="106.5" customHeight="1">
      <c r="A5" s="77" t="s">
        <v>64</v>
      </c>
      <c r="B5" s="77"/>
      <c r="C5" s="77"/>
      <c r="D5" s="78" t="s">
        <v>5</v>
      </c>
    </row>
    <row r="6" spans="1:8" ht="45" customHeight="1">
      <c r="A6" s="77"/>
      <c r="B6" s="77"/>
      <c r="C6" s="77"/>
      <c r="D6" s="78" t="s">
        <v>65</v>
      </c>
    </row>
    <row r="7" spans="1:8" ht="54.75" customHeight="1">
      <c r="A7" s="79">
        <v>1</v>
      </c>
      <c r="B7" s="71" t="s">
        <v>192</v>
      </c>
      <c r="C7" s="124" t="s">
        <v>94</v>
      </c>
      <c r="D7" s="123" t="e">
        <f>#REF!*1.3</f>
        <v>#REF!</v>
      </c>
    </row>
    <row r="8" spans="1:8" ht="18" customHeight="1">
      <c r="A8" s="79">
        <v>2</v>
      </c>
      <c r="B8" s="71" t="s">
        <v>67</v>
      </c>
      <c r="C8" s="71" t="s">
        <v>55</v>
      </c>
      <c r="D8" s="90" t="e">
        <f>D7*12</f>
        <v>#REF!</v>
      </c>
    </row>
    <row r="9" spans="1:8" ht="25.5">
      <c r="A9" s="79">
        <v>3</v>
      </c>
      <c r="B9" s="71" t="s">
        <v>68</v>
      </c>
      <c r="C9" s="71" t="s">
        <v>69</v>
      </c>
      <c r="D9" s="90" t="e">
        <f>D7*4</f>
        <v>#REF!</v>
      </c>
    </row>
    <row r="10" spans="1:8" ht="29.25" customHeight="1">
      <c r="A10" s="79">
        <v>4</v>
      </c>
      <c r="B10" s="71" t="s">
        <v>70</v>
      </c>
      <c r="C10" s="71" t="s">
        <v>71</v>
      </c>
      <c r="D10" s="90" t="e">
        <f>D7*3</f>
        <v>#REF!</v>
      </c>
    </row>
    <row r="11" spans="1:8" ht="43.5" customHeight="1">
      <c r="A11" s="79">
        <v>5</v>
      </c>
      <c r="B11" s="71" t="s">
        <v>184</v>
      </c>
      <c r="C11" s="71" t="s">
        <v>72</v>
      </c>
      <c r="D11" s="90" t="e">
        <f>D7*14</f>
        <v>#REF!</v>
      </c>
    </row>
    <row r="12" spans="1:8" ht="108.75" customHeight="1">
      <c r="A12" s="79">
        <v>6</v>
      </c>
      <c r="B12" s="71" t="s">
        <v>175</v>
      </c>
      <c r="C12" s="71" t="s">
        <v>176</v>
      </c>
      <c r="D12" s="90"/>
    </row>
    <row r="13" spans="1:8" ht="52.5" customHeight="1">
      <c r="A13" s="79">
        <v>7</v>
      </c>
      <c r="B13" s="71" t="s">
        <v>73</v>
      </c>
      <c r="C13" s="71" t="s">
        <v>74</v>
      </c>
      <c r="D13" s="170" t="e">
        <f>(D7+D9/12)*2</f>
        <v>#REF!</v>
      </c>
    </row>
    <row r="14" spans="1:8" ht="40.5" customHeight="1">
      <c r="A14" s="79">
        <v>8</v>
      </c>
      <c r="B14" s="71" t="s">
        <v>177</v>
      </c>
      <c r="C14" s="89" t="s">
        <v>90</v>
      </c>
      <c r="D14" s="90" t="e">
        <f>D7*35</f>
        <v>#REF!</v>
      </c>
      <c r="E14" s="121" t="s">
        <v>93</v>
      </c>
    </row>
    <row r="15" spans="1:8" ht="39" customHeight="1">
      <c r="A15" s="79">
        <v>9</v>
      </c>
      <c r="B15" s="72" t="s">
        <v>56</v>
      </c>
      <c r="C15" s="71" t="s">
        <v>75</v>
      </c>
      <c r="D15" s="91" t="e">
        <f>D8+D9+D10+D11+D12+D13+D14</f>
        <v>#REF!</v>
      </c>
      <c r="E15" s="91">
        <v>11163</v>
      </c>
    </row>
    <row r="16" spans="1:8" ht="14.25" customHeight="1">
      <c r="A16" s="251" t="s">
        <v>57</v>
      </c>
      <c r="B16" s="252"/>
      <c r="C16" s="252"/>
      <c r="D16" s="92"/>
    </row>
    <row r="17" spans="1:5" ht="18.75" customHeight="1">
      <c r="A17" s="71">
        <v>10</v>
      </c>
      <c r="B17" s="71" t="s">
        <v>76</v>
      </c>
      <c r="C17" s="71" t="s">
        <v>77</v>
      </c>
      <c r="D17" s="90" t="e">
        <f>D15*0.7</f>
        <v>#REF!</v>
      </c>
      <c r="E17" s="90">
        <f>E15*0.7</f>
        <v>7814</v>
      </c>
    </row>
    <row r="18" spans="1:5" ht="35.25" customHeight="1">
      <c r="A18" s="71">
        <v>11</v>
      </c>
      <c r="B18" s="71" t="s">
        <v>58</v>
      </c>
      <c r="C18" s="71" t="s">
        <v>78</v>
      </c>
      <c r="D18" s="90" t="e">
        <f>D15*0.5</f>
        <v>#REF!</v>
      </c>
      <c r="E18" s="90">
        <f>E15*0.5</f>
        <v>5582</v>
      </c>
    </row>
    <row r="19" spans="1:5" ht="16.5" customHeight="1">
      <c r="A19" s="71">
        <v>12</v>
      </c>
      <c r="B19" s="72" t="s">
        <v>59</v>
      </c>
      <c r="C19" s="71" t="s">
        <v>79</v>
      </c>
      <c r="D19" s="91" t="e">
        <f>D15+D17+D18</f>
        <v>#REF!</v>
      </c>
      <c r="E19" s="87"/>
    </row>
    <row r="20" spans="1:5" ht="16.5" customHeight="1">
      <c r="A20" s="80">
        <v>13</v>
      </c>
      <c r="B20" s="81" t="s">
        <v>60</v>
      </c>
      <c r="C20" s="80" t="s">
        <v>80</v>
      </c>
      <c r="D20" s="120" t="e">
        <f>D19/12</f>
        <v>#REF!</v>
      </c>
      <c r="E20" s="122">
        <f>E15+E17+E18</f>
        <v>24559</v>
      </c>
    </row>
    <row r="21" spans="1:5" ht="35.25" customHeight="1">
      <c r="A21" s="71">
        <v>14</v>
      </c>
      <c r="B21" s="71" t="s">
        <v>179</v>
      </c>
      <c r="C21" s="71" t="s">
        <v>178</v>
      </c>
      <c r="D21" s="90" t="e">
        <f>D20*6</f>
        <v>#REF!</v>
      </c>
    </row>
    <row r="22" spans="1:5" ht="56.25" customHeight="1">
      <c r="A22" s="71">
        <v>15</v>
      </c>
      <c r="B22" s="71" t="s">
        <v>180</v>
      </c>
      <c r="C22" s="71" t="s">
        <v>181</v>
      </c>
      <c r="D22" s="90" t="e">
        <f>D20*2</f>
        <v>#REF!</v>
      </c>
    </row>
    <row r="23" spans="1:5" ht="38.25" customHeight="1">
      <c r="A23" s="71">
        <v>16</v>
      </c>
      <c r="B23" s="71" t="s">
        <v>62</v>
      </c>
      <c r="C23" s="71" t="s">
        <v>82</v>
      </c>
      <c r="D23" s="90" t="e">
        <f>D20</f>
        <v>#REF!</v>
      </c>
    </row>
    <row r="24" spans="1:5" ht="18" customHeight="1">
      <c r="A24" s="71">
        <v>17</v>
      </c>
      <c r="B24" s="72" t="s">
        <v>83</v>
      </c>
      <c r="C24" s="71" t="s">
        <v>84</v>
      </c>
      <c r="D24" s="125" t="e">
        <f>D19+D21+D22+D23</f>
        <v>#REF!</v>
      </c>
    </row>
    <row r="25" spans="1:5" ht="18" hidden="1" customHeight="1">
      <c r="A25" s="68"/>
      <c r="B25" s="82" t="s">
        <v>85</v>
      </c>
      <c r="C25" s="83"/>
      <c r="D25" s="84" t="e">
        <f>D24/12</f>
        <v>#REF!</v>
      </c>
    </row>
    <row r="26" spans="1:5" ht="18" hidden="1" customHeight="1">
      <c r="A26" s="85"/>
      <c r="B26" s="82"/>
      <c r="C26" s="83"/>
      <c r="D26" s="86" t="e">
        <f>D24/21</f>
        <v>#REF!</v>
      </c>
    </row>
    <row r="27" spans="1:5" hidden="1">
      <c r="C27" s="87" t="s">
        <v>86</v>
      </c>
    </row>
    <row r="28" spans="1:5" hidden="1">
      <c r="C28" s="88"/>
    </row>
    <row r="29" spans="1:5" ht="18" hidden="1" customHeight="1">
      <c r="C29" s="87" t="s">
        <v>87</v>
      </c>
      <c r="D29" s="73" t="e">
        <f>(624000*30.2%)+((D24-(624000*30.2%))*10.2%)</f>
        <v>#REF!</v>
      </c>
    </row>
    <row r="30" spans="1:5" ht="18" hidden="1" customHeight="1">
      <c r="D30" s="73" t="e">
        <f>(678000*30.2%)+((D24-(678000*30.2%))*10.2%)</f>
        <v>#REF!</v>
      </c>
    </row>
    <row r="31" spans="1:5" ht="18" hidden="1" customHeight="1">
      <c r="D31" s="73" t="e">
        <f>(740000*30.2%)+((D24-(740000*30.2%))*10.2%)</f>
        <v>#REF!</v>
      </c>
    </row>
    <row r="32" spans="1:5" hidden="1"/>
    <row r="33" spans="3:4" hidden="1"/>
    <row r="34" spans="3:4" ht="21.6" customHeight="1">
      <c r="C34" s="168" t="s">
        <v>183</v>
      </c>
      <c r="D34" s="167">
        <f>1877783.6*17</f>
        <v>31922321</v>
      </c>
    </row>
    <row r="35" spans="3:4" ht="15.75">
      <c r="C35" s="168" t="s">
        <v>182</v>
      </c>
      <c r="D35" s="169" t="e">
        <f>D24-D34</f>
        <v>#REF!</v>
      </c>
    </row>
  </sheetData>
  <mergeCells count="3">
    <mergeCell ref="A2:D2"/>
    <mergeCell ref="B3:D3"/>
    <mergeCell ref="A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10" zoomScale="70" zoomScaleNormal="70" workbookViewId="0">
      <selection activeCell="D34" sqref="D34"/>
    </sheetView>
  </sheetViews>
  <sheetFormatPr defaultRowHeight="12.75"/>
  <cols>
    <col min="1" max="1" width="4.42578125" style="65" customWidth="1"/>
    <col min="2" max="2" width="49.28515625" style="66" customWidth="1"/>
    <col min="3" max="3" width="23.5703125" style="66" customWidth="1"/>
    <col min="4" max="4" width="17" style="66" customWidth="1"/>
    <col min="5" max="5" width="12" style="66" customWidth="1"/>
    <col min="6" max="16384" width="9.140625" style="66"/>
  </cols>
  <sheetData>
    <row r="1" spans="1:8" ht="15.75" customHeight="1">
      <c r="C1" s="67"/>
      <c r="D1" s="65"/>
    </row>
    <row r="2" spans="1:8" ht="112.5" customHeight="1">
      <c r="A2" s="249" t="s">
        <v>91</v>
      </c>
      <c r="B2" s="249"/>
      <c r="C2" s="249"/>
      <c r="D2" s="249"/>
    </row>
    <row r="3" spans="1:8" ht="48" customHeight="1">
      <c r="A3" s="74"/>
      <c r="B3" s="250" t="s">
        <v>63</v>
      </c>
      <c r="C3" s="250"/>
      <c r="D3" s="250"/>
      <c r="H3" s="173"/>
    </row>
    <row r="4" spans="1:8" s="70" customFormat="1" ht="26.25" customHeight="1">
      <c r="A4" s="69" t="s">
        <v>52</v>
      </c>
      <c r="B4" s="75" t="s">
        <v>53</v>
      </c>
      <c r="C4" s="76" t="s">
        <v>54</v>
      </c>
      <c r="D4" s="76"/>
    </row>
    <row r="5" spans="1:8" ht="106.5" customHeight="1">
      <c r="A5" s="77" t="s">
        <v>64</v>
      </c>
      <c r="B5" s="77"/>
      <c r="C5" s="77"/>
      <c r="D5" s="78" t="s">
        <v>5</v>
      </c>
    </row>
    <row r="6" spans="1:8" ht="45" customHeight="1">
      <c r="A6" s="77"/>
      <c r="B6" s="77"/>
      <c r="C6" s="77"/>
      <c r="D6" s="78" t="s">
        <v>65</v>
      </c>
    </row>
    <row r="7" spans="1:8" ht="27" customHeight="1">
      <c r="A7" s="79">
        <v>1</v>
      </c>
      <c r="B7" s="71" t="s">
        <v>66</v>
      </c>
      <c r="C7" s="124" t="s">
        <v>94</v>
      </c>
      <c r="D7" s="123" t="e">
        <f>#REF!</f>
        <v>#REF!</v>
      </c>
    </row>
    <row r="8" spans="1:8" ht="18" customHeight="1">
      <c r="A8" s="79">
        <v>2</v>
      </c>
      <c r="B8" s="71" t="s">
        <v>67</v>
      </c>
      <c r="C8" s="71" t="s">
        <v>55</v>
      </c>
      <c r="D8" s="90" t="e">
        <f>D7*12</f>
        <v>#REF!</v>
      </c>
    </row>
    <row r="9" spans="1:8" ht="25.5">
      <c r="A9" s="79">
        <v>3</v>
      </c>
      <c r="B9" s="71" t="s">
        <v>68</v>
      </c>
      <c r="C9" s="71" t="s">
        <v>69</v>
      </c>
      <c r="D9" s="90" t="e">
        <f>D7*4</f>
        <v>#REF!</v>
      </c>
    </row>
    <row r="10" spans="1:8" ht="29.25" customHeight="1">
      <c r="A10" s="79">
        <v>4</v>
      </c>
      <c r="B10" s="71" t="s">
        <v>70</v>
      </c>
      <c r="C10" s="71" t="s">
        <v>71</v>
      </c>
      <c r="D10" s="90" t="e">
        <f>D7*3</f>
        <v>#REF!</v>
      </c>
    </row>
    <row r="11" spans="1:8" ht="43.5" customHeight="1">
      <c r="A11" s="79">
        <v>5</v>
      </c>
      <c r="B11" s="71" t="s">
        <v>184</v>
      </c>
      <c r="C11" s="71" t="s">
        <v>72</v>
      </c>
      <c r="D11" s="90" t="e">
        <f>D7*14</f>
        <v>#REF!</v>
      </c>
    </row>
    <row r="12" spans="1:8" ht="108.75" customHeight="1">
      <c r="A12" s="79">
        <v>6</v>
      </c>
      <c r="B12" s="71" t="s">
        <v>175</v>
      </c>
      <c r="C12" s="71" t="s">
        <v>176</v>
      </c>
      <c r="D12" s="90"/>
    </row>
    <row r="13" spans="1:8" ht="52.5" customHeight="1">
      <c r="A13" s="79">
        <v>7</v>
      </c>
      <c r="B13" s="71" t="s">
        <v>73</v>
      </c>
      <c r="C13" s="71" t="s">
        <v>74</v>
      </c>
      <c r="D13" s="170" t="e">
        <f>(D7+D9/12)*2</f>
        <v>#REF!</v>
      </c>
    </row>
    <row r="14" spans="1:8" ht="40.5" customHeight="1">
      <c r="A14" s="79">
        <v>8</v>
      </c>
      <c r="B14" s="71" t="s">
        <v>177</v>
      </c>
      <c r="C14" s="89" t="s">
        <v>90</v>
      </c>
      <c r="D14" s="90" t="e">
        <f>D7*35</f>
        <v>#REF!</v>
      </c>
      <c r="E14" s="121" t="s">
        <v>93</v>
      </c>
    </row>
    <row r="15" spans="1:8" ht="39" customHeight="1">
      <c r="A15" s="79">
        <v>9</v>
      </c>
      <c r="B15" s="72" t="s">
        <v>56</v>
      </c>
      <c r="C15" s="71" t="s">
        <v>75</v>
      </c>
      <c r="D15" s="91" t="e">
        <f>D8+D9+D10+D11+D12+D13+D14</f>
        <v>#REF!</v>
      </c>
      <c r="E15" s="91">
        <v>11163</v>
      </c>
    </row>
    <row r="16" spans="1:8" ht="14.25" customHeight="1">
      <c r="A16" s="251" t="s">
        <v>57</v>
      </c>
      <c r="B16" s="252"/>
      <c r="C16" s="252"/>
      <c r="D16" s="92"/>
    </row>
    <row r="17" spans="1:5" ht="18.75" customHeight="1">
      <c r="A17" s="71">
        <v>10</v>
      </c>
      <c r="B17" s="71" t="s">
        <v>76</v>
      </c>
      <c r="C17" s="71" t="s">
        <v>77</v>
      </c>
      <c r="D17" s="90" t="e">
        <f>D15*0.7</f>
        <v>#REF!</v>
      </c>
      <c r="E17" s="90">
        <f>E15*0.7</f>
        <v>7814</v>
      </c>
    </row>
    <row r="18" spans="1:5" ht="35.25" customHeight="1">
      <c r="A18" s="71">
        <v>11</v>
      </c>
      <c r="B18" s="71" t="s">
        <v>58</v>
      </c>
      <c r="C18" s="71" t="s">
        <v>78</v>
      </c>
      <c r="D18" s="90" t="e">
        <f>D15*0.5</f>
        <v>#REF!</v>
      </c>
      <c r="E18" s="90">
        <f>E15*0.5</f>
        <v>5582</v>
      </c>
    </row>
    <row r="19" spans="1:5" ht="16.5" customHeight="1">
      <c r="A19" s="71">
        <v>12</v>
      </c>
      <c r="B19" s="72" t="s">
        <v>59</v>
      </c>
      <c r="C19" s="71" t="s">
        <v>79</v>
      </c>
      <c r="D19" s="91" t="e">
        <f>D15+D17+D18</f>
        <v>#REF!</v>
      </c>
      <c r="E19" s="87"/>
    </row>
    <row r="20" spans="1:5" ht="16.5" customHeight="1">
      <c r="A20" s="80">
        <v>13</v>
      </c>
      <c r="B20" s="81" t="s">
        <v>60</v>
      </c>
      <c r="C20" s="80" t="s">
        <v>80</v>
      </c>
      <c r="D20" s="120" t="e">
        <f>D19/12</f>
        <v>#REF!</v>
      </c>
      <c r="E20" s="122">
        <f>E15+E17+E18</f>
        <v>24559</v>
      </c>
    </row>
    <row r="21" spans="1:5" ht="35.25" customHeight="1">
      <c r="A21" s="71">
        <v>14</v>
      </c>
      <c r="B21" s="71" t="s">
        <v>179</v>
      </c>
      <c r="C21" s="71" t="s">
        <v>178</v>
      </c>
      <c r="D21" s="90" t="e">
        <f>D20*6</f>
        <v>#REF!</v>
      </c>
    </row>
    <row r="22" spans="1:5" ht="56.25" customHeight="1">
      <c r="A22" s="71">
        <v>15</v>
      </c>
      <c r="B22" s="71" t="s">
        <v>180</v>
      </c>
      <c r="C22" s="71" t="s">
        <v>181</v>
      </c>
      <c r="D22" s="90" t="e">
        <f>D20*2</f>
        <v>#REF!</v>
      </c>
    </row>
    <row r="23" spans="1:5" ht="38.25" customHeight="1">
      <c r="A23" s="71">
        <v>16</v>
      </c>
      <c r="B23" s="71" t="s">
        <v>62</v>
      </c>
      <c r="C23" s="71" t="s">
        <v>82</v>
      </c>
      <c r="D23" s="90" t="e">
        <f>D20</f>
        <v>#REF!</v>
      </c>
    </row>
    <row r="24" spans="1:5" ht="18" customHeight="1">
      <c r="A24" s="71">
        <v>17</v>
      </c>
      <c r="B24" s="72" t="s">
        <v>83</v>
      </c>
      <c r="C24" s="71" t="s">
        <v>84</v>
      </c>
      <c r="D24" s="125" t="e">
        <f>D19+D21+D22+D23</f>
        <v>#REF!</v>
      </c>
    </row>
    <row r="25" spans="1:5" ht="18" hidden="1" customHeight="1">
      <c r="A25" s="68"/>
      <c r="B25" s="82" t="s">
        <v>85</v>
      </c>
      <c r="C25" s="83"/>
      <c r="D25" s="84" t="e">
        <f>D24/12</f>
        <v>#REF!</v>
      </c>
    </row>
    <row r="26" spans="1:5" ht="18" hidden="1" customHeight="1">
      <c r="A26" s="85"/>
      <c r="B26" s="82"/>
      <c r="C26" s="83"/>
      <c r="D26" s="86" t="e">
        <f>D24/21</f>
        <v>#REF!</v>
      </c>
    </row>
    <row r="27" spans="1:5" hidden="1">
      <c r="C27" s="87" t="s">
        <v>86</v>
      </c>
    </row>
    <row r="28" spans="1:5" hidden="1">
      <c r="C28" s="88"/>
    </row>
    <row r="29" spans="1:5" ht="18" hidden="1" customHeight="1">
      <c r="C29" s="87" t="s">
        <v>87</v>
      </c>
      <c r="D29" s="73" t="e">
        <f>(624000*30.2%)+((D24-(624000*30.2%))*10.2%)</f>
        <v>#REF!</v>
      </c>
    </row>
    <row r="30" spans="1:5" ht="18" hidden="1" customHeight="1">
      <c r="D30" s="73" t="e">
        <f>(678000*30.2%)+((D24-(678000*30.2%))*10.2%)</f>
        <v>#REF!</v>
      </c>
    </row>
    <row r="31" spans="1:5" ht="18" hidden="1" customHeight="1">
      <c r="D31" s="73" t="e">
        <f>(740000*30.2%)+((D24-(740000*30.2%))*10.2%)</f>
        <v>#REF!</v>
      </c>
    </row>
    <row r="32" spans="1:5" hidden="1"/>
    <row r="33" spans="3:4" hidden="1"/>
    <row r="34" spans="3:4" ht="21.6" customHeight="1">
      <c r="C34" s="168" t="s">
        <v>183</v>
      </c>
      <c r="D34" s="167">
        <f>1297709.6*17</f>
        <v>22061063</v>
      </c>
    </row>
    <row r="35" spans="3:4" ht="15.75">
      <c r="C35" s="168" t="s">
        <v>182</v>
      </c>
      <c r="D35" s="169" t="e">
        <f>D24-D34</f>
        <v>#REF!</v>
      </c>
    </row>
  </sheetData>
  <mergeCells count="3">
    <mergeCell ref="A2:D2"/>
    <mergeCell ref="B3:D3"/>
    <mergeCell ref="A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opLeftCell="A7" zoomScale="70" zoomScaleNormal="70" workbookViewId="0">
      <selection activeCell="D34" sqref="D34"/>
    </sheetView>
  </sheetViews>
  <sheetFormatPr defaultRowHeight="12.75"/>
  <cols>
    <col min="1" max="1" width="4.42578125" style="65" customWidth="1"/>
    <col min="2" max="2" width="49.28515625" style="66" customWidth="1"/>
    <col min="3" max="3" width="23.5703125" style="66" customWidth="1"/>
    <col min="4" max="4" width="17" style="66" customWidth="1"/>
    <col min="5" max="5" width="12" style="66" customWidth="1"/>
    <col min="6" max="6" width="9.140625" style="66"/>
    <col min="7" max="7" width="10.28515625" style="66" bestFit="1" customWidth="1"/>
    <col min="8" max="16384" width="9.140625" style="66"/>
  </cols>
  <sheetData>
    <row r="1" spans="1:9" ht="15.75" customHeight="1">
      <c r="C1" s="67"/>
      <c r="D1" s="65"/>
    </row>
    <row r="2" spans="1:9" ht="112.5" customHeight="1">
      <c r="A2" s="249" t="s">
        <v>91</v>
      </c>
      <c r="B2" s="249"/>
      <c r="C2" s="249"/>
      <c r="D2" s="249"/>
    </row>
    <row r="3" spans="1:9" ht="48" customHeight="1">
      <c r="A3" s="74"/>
      <c r="B3" s="250" t="s">
        <v>63</v>
      </c>
      <c r="C3" s="250"/>
      <c r="D3" s="250"/>
      <c r="H3" s="173"/>
    </row>
    <row r="4" spans="1:9" s="70" customFormat="1" ht="26.25" customHeight="1">
      <c r="A4" s="69" t="s">
        <v>52</v>
      </c>
      <c r="B4" s="75" t="s">
        <v>53</v>
      </c>
      <c r="C4" s="76" t="s">
        <v>54</v>
      </c>
      <c r="D4" s="76"/>
    </row>
    <row r="5" spans="1:9" ht="106.5" customHeight="1">
      <c r="A5" s="77" t="s">
        <v>64</v>
      </c>
      <c r="B5" s="77"/>
      <c r="C5" s="77"/>
      <c r="D5" s="78" t="s">
        <v>5</v>
      </c>
    </row>
    <row r="6" spans="1:9" ht="45" customHeight="1">
      <c r="A6" s="77"/>
      <c r="B6" s="77"/>
      <c r="C6" s="77"/>
      <c r="D6" s="78" t="s">
        <v>65</v>
      </c>
    </row>
    <row r="7" spans="1:9" ht="54.75" customHeight="1">
      <c r="A7" s="79">
        <v>1</v>
      </c>
      <c r="B7" s="71" t="s">
        <v>192</v>
      </c>
      <c r="C7" s="124" t="s">
        <v>94</v>
      </c>
      <c r="D7" s="123" t="e">
        <f>#REF!+G7</f>
        <v>#REF!</v>
      </c>
      <c r="G7" s="196" t="e">
        <f>#REF!*1.3</f>
        <v>#REF!</v>
      </c>
      <c r="I7" s="196"/>
    </row>
    <row r="8" spans="1:9" ht="18" customHeight="1">
      <c r="A8" s="79">
        <v>2</v>
      </c>
      <c r="B8" s="71" t="s">
        <v>67</v>
      </c>
      <c r="C8" s="71" t="s">
        <v>55</v>
      </c>
      <c r="D8" s="90" t="e">
        <f>D7*12</f>
        <v>#REF!</v>
      </c>
    </row>
    <row r="9" spans="1:9" ht="25.5">
      <c r="A9" s="79">
        <v>3</v>
      </c>
      <c r="B9" s="71" t="s">
        <v>68</v>
      </c>
      <c r="C9" s="71" t="s">
        <v>69</v>
      </c>
      <c r="D9" s="90" t="e">
        <f>D7*4</f>
        <v>#REF!</v>
      </c>
    </row>
    <row r="10" spans="1:9" ht="29.25" customHeight="1">
      <c r="A10" s="79">
        <v>4</v>
      </c>
      <c r="B10" s="71" t="s">
        <v>70</v>
      </c>
      <c r="C10" s="71" t="s">
        <v>71</v>
      </c>
      <c r="D10" s="90" t="e">
        <f>D7*3</f>
        <v>#REF!</v>
      </c>
    </row>
    <row r="11" spans="1:9" ht="43.5" customHeight="1">
      <c r="A11" s="79">
        <v>5</v>
      </c>
      <c r="B11" s="71" t="s">
        <v>184</v>
      </c>
      <c r="C11" s="71" t="s">
        <v>72</v>
      </c>
      <c r="D11" s="90" t="e">
        <f>D7*14</f>
        <v>#REF!</v>
      </c>
    </row>
    <row r="12" spans="1:9" ht="108.75" customHeight="1">
      <c r="A12" s="79">
        <v>6</v>
      </c>
      <c r="B12" s="71" t="s">
        <v>175</v>
      </c>
      <c r="C12" s="71" t="s">
        <v>176</v>
      </c>
      <c r="D12" s="191" t="e">
        <f>#REF!*7</f>
        <v>#REF!</v>
      </c>
    </row>
    <row r="13" spans="1:9" ht="52.5" customHeight="1">
      <c r="A13" s="79">
        <v>7</v>
      </c>
      <c r="B13" s="71" t="s">
        <v>73</v>
      </c>
      <c r="C13" s="71" t="s">
        <v>74</v>
      </c>
      <c r="D13" s="170" t="e">
        <f>(D7+D9/12)*2</f>
        <v>#REF!</v>
      </c>
    </row>
    <row r="14" spans="1:9" ht="40.5" customHeight="1">
      <c r="A14" s="79">
        <v>8</v>
      </c>
      <c r="B14" s="71" t="s">
        <v>177</v>
      </c>
      <c r="C14" s="89" t="s">
        <v>90</v>
      </c>
      <c r="D14" s="90" t="e">
        <f>D7*35</f>
        <v>#REF!</v>
      </c>
      <c r="E14" s="121" t="s">
        <v>93</v>
      </c>
    </row>
    <row r="15" spans="1:9" ht="39" customHeight="1">
      <c r="A15" s="79">
        <v>9</v>
      </c>
      <c r="B15" s="72" t="s">
        <v>56</v>
      </c>
      <c r="C15" s="71" t="s">
        <v>75</v>
      </c>
      <c r="D15" s="91" t="e">
        <f>D8+D9+D10+D11+D12+D13+D14</f>
        <v>#REF!</v>
      </c>
      <c r="E15" s="91">
        <v>11163</v>
      </c>
    </row>
    <row r="16" spans="1:9" ht="14.25" customHeight="1">
      <c r="A16" s="251" t="s">
        <v>57</v>
      </c>
      <c r="B16" s="252"/>
      <c r="C16" s="252"/>
      <c r="D16" s="92"/>
    </row>
    <row r="17" spans="1:5" ht="18.75" customHeight="1">
      <c r="A17" s="71">
        <v>10</v>
      </c>
      <c r="B17" s="71" t="s">
        <v>76</v>
      </c>
      <c r="C17" s="71" t="s">
        <v>77</v>
      </c>
      <c r="D17" s="90" t="e">
        <f>D15*0.7</f>
        <v>#REF!</v>
      </c>
      <c r="E17" s="90">
        <f>E15*0.7</f>
        <v>7814</v>
      </c>
    </row>
    <row r="18" spans="1:5" ht="35.25" customHeight="1">
      <c r="A18" s="71">
        <v>11</v>
      </c>
      <c r="B18" s="71" t="s">
        <v>58</v>
      </c>
      <c r="C18" s="71" t="s">
        <v>78</v>
      </c>
      <c r="D18" s="90" t="e">
        <f>D15*0.5</f>
        <v>#REF!</v>
      </c>
      <c r="E18" s="90">
        <f>E15*0.5</f>
        <v>5582</v>
      </c>
    </row>
    <row r="19" spans="1:5" ht="16.5" customHeight="1">
      <c r="A19" s="71">
        <v>12</v>
      </c>
      <c r="B19" s="72" t="s">
        <v>59</v>
      </c>
      <c r="C19" s="71" t="s">
        <v>79</v>
      </c>
      <c r="D19" s="91" t="e">
        <f>D15+D17+D18</f>
        <v>#REF!</v>
      </c>
      <c r="E19" s="87"/>
    </row>
    <row r="20" spans="1:5" ht="16.5" customHeight="1">
      <c r="A20" s="80">
        <v>13</v>
      </c>
      <c r="B20" s="81" t="s">
        <v>60</v>
      </c>
      <c r="C20" s="80" t="s">
        <v>80</v>
      </c>
      <c r="D20" s="120" t="e">
        <f>D19/12</f>
        <v>#REF!</v>
      </c>
      <c r="E20" s="122">
        <f>E15+E17+E18</f>
        <v>24559</v>
      </c>
    </row>
    <row r="21" spans="1:5" ht="35.25" customHeight="1">
      <c r="A21" s="71">
        <v>14</v>
      </c>
      <c r="B21" s="71" t="s">
        <v>179</v>
      </c>
      <c r="C21" s="71" t="s">
        <v>178</v>
      </c>
      <c r="D21" s="90" t="e">
        <f>D20*6</f>
        <v>#REF!</v>
      </c>
    </row>
    <row r="22" spans="1:5" ht="56.25" customHeight="1">
      <c r="A22" s="71">
        <v>15</v>
      </c>
      <c r="B22" s="71" t="s">
        <v>180</v>
      </c>
      <c r="C22" s="71" t="s">
        <v>181</v>
      </c>
      <c r="D22" s="90" t="e">
        <f>D20*2</f>
        <v>#REF!</v>
      </c>
    </row>
    <row r="23" spans="1:5" ht="38.25" customHeight="1">
      <c r="A23" s="71">
        <v>16</v>
      </c>
      <c r="B23" s="71" t="s">
        <v>62</v>
      </c>
      <c r="C23" s="71" t="s">
        <v>82</v>
      </c>
      <c r="D23" s="90" t="e">
        <f>D20</f>
        <v>#REF!</v>
      </c>
    </row>
    <row r="24" spans="1:5" ht="18" customHeight="1">
      <c r="A24" s="71">
        <v>17</v>
      </c>
      <c r="B24" s="72" t="s">
        <v>83</v>
      </c>
      <c r="C24" s="71" t="s">
        <v>84</v>
      </c>
      <c r="D24" s="125" t="e">
        <f>D19+D21+D22+D23</f>
        <v>#REF!</v>
      </c>
    </row>
    <row r="25" spans="1:5" ht="18" hidden="1" customHeight="1">
      <c r="A25" s="68"/>
      <c r="B25" s="82" t="s">
        <v>85</v>
      </c>
      <c r="C25" s="83"/>
      <c r="D25" s="84" t="e">
        <f>D24/12</f>
        <v>#REF!</v>
      </c>
    </row>
    <row r="26" spans="1:5" ht="18" hidden="1" customHeight="1">
      <c r="A26" s="85"/>
      <c r="B26" s="82"/>
      <c r="C26" s="83"/>
      <c r="D26" s="86" t="e">
        <f>D24/21</f>
        <v>#REF!</v>
      </c>
    </row>
    <row r="27" spans="1:5" hidden="1">
      <c r="C27" s="87" t="s">
        <v>86</v>
      </c>
    </row>
    <row r="28" spans="1:5" hidden="1">
      <c r="C28" s="88"/>
    </row>
    <row r="29" spans="1:5" ht="18" hidden="1" customHeight="1">
      <c r="C29" s="87" t="s">
        <v>87</v>
      </c>
      <c r="D29" s="73" t="e">
        <f>(624000*30.2%)+((D24-(624000*30.2%))*10.2%)</f>
        <v>#REF!</v>
      </c>
    </row>
    <row r="30" spans="1:5" ht="18" hidden="1" customHeight="1">
      <c r="D30" s="73" t="e">
        <f>(678000*30.2%)+((D24-(678000*30.2%))*10.2%)</f>
        <v>#REF!</v>
      </c>
    </row>
    <row r="31" spans="1:5" ht="18" hidden="1" customHeight="1">
      <c r="D31" s="73" t="e">
        <f>(740000*30.2%)+((D24-(740000*30.2%))*10.2%)</f>
        <v>#REF!</v>
      </c>
    </row>
    <row r="32" spans="1:5" hidden="1"/>
    <row r="33" spans="3:4" hidden="1"/>
    <row r="34" spans="3:4" ht="21.6" customHeight="1">
      <c r="C34" s="168" t="s">
        <v>183</v>
      </c>
      <c r="D34" s="167">
        <f>40817810.6*17</f>
        <v>693902780</v>
      </c>
    </row>
    <row r="35" spans="3:4" ht="15.75">
      <c r="C35" s="168" t="s">
        <v>182</v>
      </c>
      <c r="D35" s="169" t="e">
        <f>D24-D34</f>
        <v>#REF!</v>
      </c>
    </row>
  </sheetData>
  <mergeCells count="3">
    <mergeCell ref="A2:D2"/>
    <mergeCell ref="B3:D3"/>
    <mergeCell ref="A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0" zoomScaleNormal="70" workbookViewId="0">
      <selection activeCell="D34" sqref="D34"/>
    </sheetView>
  </sheetViews>
  <sheetFormatPr defaultRowHeight="12.75"/>
  <cols>
    <col min="1" max="1" width="4.42578125" style="65" customWidth="1"/>
    <col min="2" max="2" width="49.28515625" style="66" customWidth="1"/>
    <col min="3" max="3" width="23.5703125" style="66" customWidth="1"/>
    <col min="4" max="4" width="17" style="66" customWidth="1"/>
    <col min="5" max="5" width="12" style="66" customWidth="1"/>
    <col min="6" max="16384" width="9.140625" style="66"/>
  </cols>
  <sheetData>
    <row r="1" spans="1:9" ht="15.75" customHeight="1">
      <c r="C1" s="67"/>
      <c r="D1" s="65"/>
    </row>
    <row r="2" spans="1:9" ht="112.5" customHeight="1">
      <c r="A2" s="249" t="s">
        <v>91</v>
      </c>
      <c r="B2" s="249"/>
      <c r="C2" s="249"/>
      <c r="D2" s="249"/>
    </row>
    <row r="3" spans="1:9" ht="48" customHeight="1">
      <c r="A3" s="74"/>
      <c r="B3" s="250" t="s">
        <v>63</v>
      </c>
      <c r="C3" s="250"/>
      <c r="D3" s="250"/>
      <c r="H3" s="173"/>
    </row>
    <row r="4" spans="1:9" s="70" customFormat="1" ht="26.25" customHeight="1">
      <c r="A4" s="69" t="s">
        <v>52</v>
      </c>
      <c r="B4" s="75" t="s">
        <v>53</v>
      </c>
      <c r="C4" s="76" t="s">
        <v>54</v>
      </c>
      <c r="D4" s="76"/>
    </row>
    <row r="5" spans="1:9" ht="106.5" customHeight="1">
      <c r="A5" s="77" t="s">
        <v>64</v>
      </c>
      <c r="B5" s="77"/>
      <c r="C5" s="77"/>
      <c r="D5" s="78" t="s">
        <v>5</v>
      </c>
    </row>
    <row r="6" spans="1:9" ht="45" customHeight="1">
      <c r="A6" s="77"/>
      <c r="B6" s="77"/>
      <c r="C6" s="77"/>
      <c r="D6" s="78" t="s">
        <v>65</v>
      </c>
    </row>
    <row r="7" spans="1:9" ht="54.75" customHeight="1">
      <c r="A7" s="79">
        <v>1</v>
      </c>
      <c r="B7" s="71" t="s">
        <v>192</v>
      </c>
      <c r="C7" s="124" t="s">
        <v>94</v>
      </c>
      <c r="D7" s="123" t="e">
        <f>#REF!*1.3</f>
        <v>#REF!</v>
      </c>
      <c r="I7" s="196"/>
    </row>
    <row r="8" spans="1:9" ht="18" customHeight="1">
      <c r="A8" s="79">
        <v>2</v>
      </c>
      <c r="B8" s="71" t="s">
        <v>67</v>
      </c>
      <c r="C8" s="71" t="s">
        <v>55</v>
      </c>
      <c r="D8" s="90" t="e">
        <f>D7*12</f>
        <v>#REF!</v>
      </c>
    </row>
    <row r="9" spans="1:9" ht="25.5">
      <c r="A9" s="79">
        <v>3</v>
      </c>
      <c r="B9" s="71" t="s">
        <v>68</v>
      </c>
      <c r="C9" s="71" t="s">
        <v>69</v>
      </c>
      <c r="D9" s="90" t="e">
        <f>D7*4</f>
        <v>#REF!</v>
      </c>
    </row>
    <row r="10" spans="1:9" ht="29.25" customHeight="1">
      <c r="A10" s="79">
        <v>4</v>
      </c>
      <c r="B10" s="71" t="s">
        <v>70</v>
      </c>
      <c r="C10" s="71" t="s">
        <v>71</v>
      </c>
      <c r="D10" s="90" t="e">
        <f>D7*3</f>
        <v>#REF!</v>
      </c>
    </row>
    <row r="11" spans="1:9" ht="43.5" customHeight="1">
      <c r="A11" s="79">
        <v>5</v>
      </c>
      <c r="B11" s="71" t="s">
        <v>184</v>
      </c>
      <c r="C11" s="71" t="s">
        <v>72</v>
      </c>
      <c r="D11" s="90" t="e">
        <f>D7*14</f>
        <v>#REF!</v>
      </c>
    </row>
    <row r="12" spans="1:9" ht="108.75" customHeight="1">
      <c r="A12" s="79">
        <v>6</v>
      </c>
      <c r="B12" s="71" t="s">
        <v>175</v>
      </c>
      <c r="C12" s="71" t="s">
        <v>176</v>
      </c>
      <c r="D12" s="191" t="e">
        <f>#REF!*7</f>
        <v>#REF!</v>
      </c>
    </row>
    <row r="13" spans="1:9" ht="52.5" customHeight="1">
      <c r="A13" s="79">
        <v>7</v>
      </c>
      <c r="B13" s="71" t="s">
        <v>73</v>
      </c>
      <c r="C13" s="71" t="s">
        <v>74</v>
      </c>
      <c r="D13" s="170" t="e">
        <f>(D7+D9/12)*2</f>
        <v>#REF!</v>
      </c>
    </row>
    <row r="14" spans="1:9" ht="40.5" customHeight="1">
      <c r="A14" s="79">
        <v>8</v>
      </c>
      <c r="B14" s="71" t="s">
        <v>177</v>
      </c>
      <c r="C14" s="89" t="s">
        <v>90</v>
      </c>
      <c r="D14" s="90" t="e">
        <f>D7*35</f>
        <v>#REF!</v>
      </c>
      <c r="E14" s="121" t="s">
        <v>93</v>
      </c>
    </row>
    <row r="15" spans="1:9" ht="39" customHeight="1">
      <c r="A15" s="79">
        <v>9</v>
      </c>
      <c r="B15" s="72" t="s">
        <v>56</v>
      </c>
      <c r="C15" s="71" t="s">
        <v>75</v>
      </c>
      <c r="D15" s="91" t="e">
        <f>D8+D9+D10+D11+D12+D13+D14</f>
        <v>#REF!</v>
      </c>
      <c r="E15" s="91">
        <v>11163</v>
      </c>
    </row>
    <row r="16" spans="1:9" ht="14.25" customHeight="1">
      <c r="A16" s="251" t="s">
        <v>57</v>
      </c>
      <c r="B16" s="252"/>
      <c r="C16" s="252"/>
      <c r="D16" s="92"/>
    </row>
    <row r="17" spans="1:5" ht="18.75" customHeight="1">
      <c r="A17" s="71">
        <v>10</v>
      </c>
      <c r="B17" s="71" t="s">
        <v>76</v>
      </c>
      <c r="C17" s="71" t="s">
        <v>77</v>
      </c>
      <c r="D17" s="90" t="e">
        <f>D15*0.7</f>
        <v>#REF!</v>
      </c>
      <c r="E17" s="90">
        <f>E15*0.7</f>
        <v>7814</v>
      </c>
    </row>
    <row r="18" spans="1:5" ht="35.25" customHeight="1">
      <c r="A18" s="71">
        <v>11</v>
      </c>
      <c r="B18" s="71" t="s">
        <v>58</v>
      </c>
      <c r="C18" s="71" t="s">
        <v>78</v>
      </c>
      <c r="D18" s="90" t="e">
        <f>D15*0.5</f>
        <v>#REF!</v>
      </c>
      <c r="E18" s="90">
        <f>E15*0.5</f>
        <v>5582</v>
      </c>
    </row>
    <row r="19" spans="1:5" ht="16.5" customHeight="1">
      <c r="A19" s="71">
        <v>12</v>
      </c>
      <c r="B19" s="72" t="s">
        <v>59</v>
      </c>
      <c r="C19" s="71" t="s">
        <v>79</v>
      </c>
      <c r="D19" s="91" t="e">
        <f>D15+D17+D18</f>
        <v>#REF!</v>
      </c>
      <c r="E19" s="87"/>
    </row>
    <row r="20" spans="1:5" ht="16.5" customHeight="1">
      <c r="A20" s="80">
        <v>13</v>
      </c>
      <c r="B20" s="81" t="s">
        <v>60</v>
      </c>
      <c r="C20" s="80" t="s">
        <v>80</v>
      </c>
      <c r="D20" s="120" t="e">
        <f>D19/12</f>
        <v>#REF!</v>
      </c>
      <c r="E20" s="122">
        <f>E15+E17+E18</f>
        <v>24559</v>
      </c>
    </row>
    <row r="21" spans="1:5" ht="35.25" customHeight="1">
      <c r="A21" s="71">
        <v>14</v>
      </c>
      <c r="B21" s="71" t="s">
        <v>179</v>
      </c>
      <c r="C21" s="71" t="s">
        <v>178</v>
      </c>
      <c r="D21" s="90" t="e">
        <f>D20*6</f>
        <v>#REF!</v>
      </c>
    </row>
    <row r="22" spans="1:5" ht="56.25" customHeight="1">
      <c r="A22" s="71">
        <v>15</v>
      </c>
      <c r="B22" s="71" t="s">
        <v>180</v>
      </c>
      <c r="C22" s="71" t="s">
        <v>181</v>
      </c>
      <c r="D22" s="90" t="e">
        <f>D20*2</f>
        <v>#REF!</v>
      </c>
    </row>
    <row r="23" spans="1:5" ht="38.25" customHeight="1">
      <c r="A23" s="71">
        <v>16</v>
      </c>
      <c r="B23" s="71" t="s">
        <v>62</v>
      </c>
      <c r="C23" s="71" t="s">
        <v>82</v>
      </c>
      <c r="D23" s="90" t="e">
        <f>D20</f>
        <v>#REF!</v>
      </c>
    </row>
    <row r="24" spans="1:5" ht="18" customHeight="1">
      <c r="A24" s="71">
        <v>17</v>
      </c>
      <c r="B24" s="72" t="s">
        <v>83</v>
      </c>
      <c r="C24" s="71" t="s">
        <v>84</v>
      </c>
      <c r="D24" s="125" t="e">
        <f>D19+D21+D22+D23</f>
        <v>#REF!</v>
      </c>
    </row>
    <row r="25" spans="1:5" ht="18" hidden="1" customHeight="1">
      <c r="A25" s="68"/>
      <c r="B25" s="82" t="s">
        <v>85</v>
      </c>
      <c r="C25" s="83"/>
      <c r="D25" s="84" t="e">
        <f>D24/12</f>
        <v>#REF!</v>
      </c>
    </row>
    <row r="26" spans="1:5" ht="18" hidden="1" customHeight="1">
      <c r="A26" s="85"/>
      <c r="B26" s="82"/>
      <c r="C26" s="83"/>
      <c r="D26" s="86" t="e">
        <f>D24/21</f>
        <v>#REF!</v>
      </c>
    </row>
    <row r="27" spans="1:5" hidden="1">
      <c r="C27" s="87" t="s">
        <v>86</v>
      </c>
    </row>
    <row r="28" spans="1:5" hidden="1">
      <c r="C28" s="88"/>
    </row>
    <row r="29" spans="1:5" ht="18" hidden="1" customHeight="1">
      <c r="C29" s="87" t="s">
        <v>87</v>
      </c>
      <c r="D29" s="73" t="e">
        <f>(624000*30.2%)+((D24-(624000*30.2%))*10.2%)</f>
        <v>#REF!</v>
      </c>
    </row>
    <row r="30" spans="1:5" ht="18" hidden="1" customHeight="1">
      <c r="D30" s="73" t="e">
        <f>(678000*30.2%)+((D24-(678000*30.2%))*10.2%)</f>
        <v>#REF!</v>
      </c>
    </row>
    <row r="31" spans="1:5" ht="18" hidden="1" customHeight="1">
      <c r="D31" s="73" t="e">
        <f>(740000*30.2%)+((D24-(740000*30.2%))*10.2%)</f>
        <v>#REF!</v>
      </c>
    </row>
    <row r="32" spans="1:5" hidden="1"/>
    <row r="33" spans="3:4" hidden="1"/>
    <row r="34" spans="3:4" ht="21.6" customHeight="1">
      <c r="C34" s="168" t="s">
        <v>183</v>
      </c>
      <c r="D34" s="167">
        <f>40817810.6*17</f>
        <v>693902780</v>
      </c>
    </row>
    <row r="35" spans="3:4" ht="15.75">
      <c r="C35" s="168" t="s">
        <v>182</v>
      </c>
      <c r="D35" s="169" t="e">
        <f>D24-D34</f>
        <v>#REF!</v>
      </c>
    </row>
  </sheetData>
  <mergeCells count="3">
    <mergeCell ref="A2:D2"/>
    <mergeCell ref="B3:D3"/>
    <mergeCell ref="A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7"/>
  <sheetViews>
    <sheetView zoomScale="80" zoomScaleNormal="80" workbookViewId="0">
      <pane xSplit="7" ySplit="4" topLeftCell="H5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RowHeight="16.5"/>
  <cols>
    <col min="1" max="1" width="4.7109375" style="34" customWidth="1"/>
    <col min="2" max="2" width="37.140625" style="3" customWidth="1"/>
    <col min="3" max="3" width="4.28515625" style="30" customWidth="1"/>
    <col min="4" max="4" width="17" style="3" customWidth="1"/>
    <col min="5" max="5" width="12.42578125" style="61" customWidth="1"/>
    <col min="6" max="6" width="12.7109375" style="8" customWidth="1"/>
    <col min="7" max="7" width="12.7109375" style="62" customWidth="1"/>
    <col min="8" max="8" width="9.85546875" style="61" customWidth="1"/>
    <col min="9" max="9" width="11" style="63" customWidth="1"/>
    <col min="10" max="11" width="9.28515625" style="64" customWidth="1"/>
    <col min="12" max="12" width="9.7109375" style="49" customWidth="1"/>
    <col min="13" max="13" width="9.5703125" style="8" customWidth="1"/>
    <col min="14" max="15" width="12.7109375" style="64" customWidth="1"/>
    <col min="16" max="16" width="11.42578125" style="8" hidden="1" customWidth="1"/>
    <col min="17" max="17" width="11.7109375" style="8" hidden="1" customWidth="1"/>
    <col min="18" max="18" width="10.140625" style="49" customWidth="1"/>
    <col min="19" max="19" width="11.42578125" style="8" customWidth="1"/>
    <col min="20" max="20" width="10.28515625" style="8" customWidth="1"/>
    <col min="21" max="21" width="12" style="8" customWidth="1"/>
    <col min="22" max="22" width="12.5703125" style="49" customWidth="1"/>
    <col min="23" max="23" width="11.5703125" style="8" hidden="1" customWidth="1"/>
    <col min="24" max="24" width="10.5703125" style="8" hidden="1" customWidth="1"/>
    <col min="25" max="25" width="15.28515625" style="8" hidden="1" customWidth="1"/>
    <col min="26" max="26" width="13.140625" style="8" hidden="1" customWidth="1"/>
    <col min="27" max="27" width="11.5703125" style="8" customWidth="1"/>
    <col min="28" max="28" width="14.85546875" style="8" customWidth="1"/>
    <col min="29" max="29" width="14.42578125" style="8" customWidth="1"/>
    <col min="30" max="30" width="12.7109375" style="8" customWidth="1"/>
    <col min="31" max="32" width="13.42578125" style="64" customWidth="1"/>
    <col min="33" max="33" width="13.5703125" style="49" customWidth="1"/>
    <col min="34" max="34" width="14.7109375" style="49" customWidth="1"/>
    <col min="35" max="35" width="12.28515625" customWidth="1"/>
  </cols>
  <sheetData>
    <row r="1" spans="1:34" ht="48.75" customHeight="1">
      <c r="A1" s="31"/>
      <c r="B1" s="19"/>
      <c r="C1" s="26"/>
      <c r="D1" s="18"/>
      <c r="E1" s="45"/>
      <c r="F1" s="44"/>
      <c r="G1" s="46"/>
      <c r="H1" s="253" t="s">
        <v>89</v>
      </c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44"/>
      <c r="AE1" s="47"/>
      <c r="AF1" s="47"/>
      <c r="AG1" s="48"/>
    </row>
    <row r="2" spans="1:34" s="2" customFormat="1" ht="22.5" customHeight="1" thickBot="1">
      <c r="A2" s="254" t="s">
        <v>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50"/>
    </row>
    <row r="3" spans="1:34" s="6" customFormat="1" ht="197.25" customHeight="1">
      <c r="A3" s="32"/>
      <c r="B3" s="4" t="s">
        <v>0</v>
      </c>
      <c r="C3" s="27"/>
      <c r="D3" s="4" t="s">
        <v>1</v>
      </c>
      <c r="E3" s="51" t="s">
        <v>39</v>
      </c>
      <c r="F3" s="51" t="s">
        <v>92</v>
      </c>
      <c r="G3" s="52" t="s">
        <v>88</v>
      </c>
      <c r="H3" s="21" t="s">
        <v>13</v>
      </c>
      <c r="I3" s="53" t="s">
        <v>29</v>
      </c>
      <c r="J3" s="54" t="s">
        <v>17</v>
      </c>
      <c r="K3" s="5" t="s">
        <v>30</v>
      </c>
      <c r="L3" s="5" t="s">
        <v>18</v>
      </c>
      <c r="M3" s="5" t="s">
        <v>31</v>
      </c>
      <c r="N3" s="5" t="s">
        <v>19</v>
      </c>
      <c r="O3" s="5" t="s">
        <v>32</v>
      </c>
      <c r="P3" s="5" t="s">
        <v>20</v>
      </c>
      <c r="Q3" s="5" t="s">
        <v>21</v>
      </c>
      <c r="R3" s="5" t="s">
        <v>22</v>
      </c>
      <c r="S3" s="5" t="s">
        <v>33</v>
      </c>
      <c r="T3" s="5" t="s">
        <v>16</v>
      </c>
      <c r="U3" s="5" t="s">
        <v>34</v>
      </c>
      <c r="V3" s="55" t="s">
        <v>35</v>
      </c>
      <c r="W3" s="5" t="s">
        <v>23</v>
      </c>
      <c r="X3" s="5" t="s">
        <v>24</v>
      </c>
      <c r="Y3" s="5" t="s">
        <v>25</v>
      </c>
      <c r="Z3" s="5" t="s">
        <v>27</v>
      </c>
      <c r="AA3" s="56" t="s">
        <v>47</v>
      </c>
      <c r="AB3" s="5" t="s">
        <v>38</v>
      </c>
      <c r="AC3" s="5" t="s">
        <v>49</v>
      </c>
      <c r="AD3" s="5" t="s">
        <v>40</v>
      </c>
      <c r="AE3" s="5" t="s">
        <v>36</v>
      </c>
      <c r="AF3" s="5" t="s">
        <v>37</v>
      </c>
      <c r="AG3" s="55" t="s">
        <v>51</v>
      </c>
      <c r="AH3" s="56" t="s">
        <v>48</v>
      </c>
    </row>
    <row r="4" spans="1:34" s="117" customFormat="1" ht="15.75" customHeight="1">
      <c r="A4" s="108">
        <v>1</v>
      </c>
      <c r="B4" s="109">
        <v>2</v>
      </c>
      <c r="C4" s="110"/>
      <c r="D4" s="109">
        <v>3</v>
      </c>
      <c r="E4" s="111"/>
      <c r="F4" s="109">
        <v>4</v>
      </c>
      <c r="G4" s="109">
        <v>5</v>
      </c>
      <c r="H4" s="112">
        <v>6</v>
      </c>
      <c r="I4" s="113">
        <v>7</v>
      </c>
      <c r="J4" s="114">
        <v>8</v>
      </c>
      <c r="K4" s="109">
        <v>9</v>
      </c>
      <c r="L4" s="109">
        <v>10</v>
      </c>
      <c r="M4" s="109">
        <v>11</v>
      </c>
      <c r="N4" s="109">
        <v>12</v>
      </c>
      <c r="O4" s="109">
        <v>13</v>
      </c>
      <c r="P4" s="109"/>
      <c r="Q4" s="109"/>
      <c r="R4" s="109">
        <v>14</v>
      </c>
      <c r="S4" s="109">
        <v>15</v>
      </c>
      <c r="T4" s="109">
        <v>16</v>
      </c>
      <c r="U4" s="109">
        <v>17</v>
      </c>
      <c r="V4" s="115">
        <v>18</v>
      </c>
      <c r="W4" s="109"/>
      <c r="X4" s="109"/>
      <c r="Y4" s="109"/>
      <c r="Z4" s="109"/>
      <c r="AA4" s="109"/>
      <c r="AB4" s="109">
        <v>19</v>
      </c>
      <c r="AC4" s="109">
        <v>20</v>
      </c>
      <c r="AD4" s="109">
        <v>21</v>
      </c>
      <c r="AE4" s="109">
        <v>22</v>
      </c>
      <c r="AF4" s="109">
        <v>23</v>
      </c>
      <c r="AG4" s="115">
        <v>24</v>
      </c>
      <c r="AH4" s="116"/>
    </row>
    <row r="5" spans="1:34" s="43" customFormat="1" ht="59.25" customHeight="1">
      <c r="A5" s="258" t="s">
        <v>15</v>
      </c>
      <c r="B5" s="258"/>
      <c r="C5" s="258"/>
      <c r="D5" s="258"/>
      <c r="E5" s="35"/>
      <c r="F5" s="58"/>
      <c r="G5" s="59"/>
      <c r="H5" s="36"/>
      <c r="I5" s="60"/>
      <c r="J5" s="37"/>
      <c r="K5" s="38"/>
      <c r="L5" s="39"/>
      <c r="M5" s="38"/>
      <c r="N5" s="39"/>
      <c r="O5" s="38"/>
      <c r="P5" s="39"/>
      <c r="Q5" s="38"/>
      <c r="R5" s="39"/>
      <c r="S5" s="38"/>
      <c r="T5" s="40"/>
      <c r="U5" s="38"/>
      <c r="V5" s="42"/>
      <c r="W5" s="38"/>
      <c r="X5" s="38"/>
      <c r="Y5" s="41"/>
      <c r="Z5" s="41"/>
      <c r="AA5" s="10"/>
      <c r="AB5" s="41"/>
      <c r="AC5" s="38"/>
      <c r="AD5" s="38"/>
      <c r="AE5" s="38"/>
      <c r="AF5" s="38"/>
      <c r="AG5" s="42"/>
      <c r="AH5" s="14"/>
    </row>
    <row r="6" spans="1:34" ht="37.5" hidden="1" customHeight="1">
      <c r="A6" s="33">
        <v>1</v>
      </c>
      <c r="B6" s="12" t="s">
        <v>42</v>
      </c>
      <c r="C6" s="28"/>
      <c r="D6" s="1" t="s">
        <v>7</v>
      </c>
      <c r="E6" s="20">
        <v>2300</v>
      </c>
      <c r="F6" s="57">
        <f>E6*1.04</f>
        <v>2392</v>
      </c>
      <c r="G6" s="24">
        <f>ROUNDUP(F6,0)</f>
        <v>2392</v>
      </c>
      <c r="H6" s="23">
        <f>G6*12</f>
        <v>28704</v>
      </c>
      <c r="I6" s="25"/>
      <c r="J6" s="22"/>
      <c r="K6" s="10"/>
      <c r="L6" s="15"/>
      <c r="M6" s="10"/>
      <c r="N6" s="15">
        <v>8</v>
      </c>
      <c r="O6" s="10">
        <f>G6*N6</f>
        <v>19136</v>
      </c>
      <c r="P6" s="15"/>
      <c r="Q6" s="10"/>
      <c r="R6" s="15">
        <v>67</v>
      </c>
      <c r="S6" s="10">
        <f>G6*R6</f>
        <v>160264</v>
      </c>
      <c r="T6" s="16">
        <v>1.2</v>
      </c>
      <c r="U6" s="10">
        <f>(H6+I6+K6+M6+O6+Q6+S6)*T6</f>
        <v>249725</v>
      </c>
      <c r="V6" s="14">
        <f>H6+I6+K6+M6+O6+Q6+S6+U6</f>
        <v>457829</v>
      </c>
      <c r="W6" s="10">
        <f t="shared" ref="W6:W17" si="0">V6/12</f>
        <v>38152</v>
      </c>
      <c r="X6" s="10">
        <f t="shared" ref="X6:X17" si="1">W6*2/2.2</f>
        <v>34684</v>
      </c>
      <c r="Y6" s="11" t="e">
        <f>X6/#REF!</f>
        <v>#REF!</v>
      </c>
      <c r="Z6" s="11">
        <v>14</v>
      </c>
      <c r="AA6" s="10">
        <f t="shared" ref="AA6:AA15" si="2">V6/12</f>
        <v>38152</v>
      </c>
      <c r="AB6" s="11">
        <v>24.5</v>
      </c>
      <c r="AC6" s="10">
        <f>(G6*AB6)*2.2</f>
        <v>128929</v>
      </c>
      <c r="AD6" s="10">
        <f>(V6+AC6)/12*4.5</f>
        <v>220034</v>
      </c>
      <c r="AE6" s="10">
        <f>(V6+AC6+AD6)/12*3.5</f>
        <v>235314</v>
      </c>
      <c r="AF6" s="10">
        <f t="shared" ref="AF6:AF16" si="3">V6/12</f>
        <v>38152</v>
      </c>
      <c r="AG6" s="14">
        <f>V6+AC6+AD6+AE6+AF6</f>
        <v>1080258</v>
      </c>
      <c r="AH6" s="14">
        <f t="shared" ref="AH6:AH15" si="4">AG6/12</f>
        <v>90022</v>
      </c>
    </row>
    <row r="7" spans="1:34" ht="54.75" hidden="1" customHeight="1">
      <c r="A7" s="33">
        <v>2</v>
      </c>
      <c r="B7" s="7" t="s">
        <v>26</v>
      </c>
      <c r="C7" s="28"/>
      <c r="D7" s="1" t="s">
        <v>7</v>
      </c>
      <c r="E7" s="20">
        <v>2030</v>
      </c>
      <c r="F7" s="57">
        <f>E7*1.04</f>
        <v>2111.1999999999998</v>
      </c>
      <c r="G7" s="24">
        <f>ROUNDUP(F7,0)</f>
        <v>2112</v>
      </c>
      <c r="H7" s="23">
        <f>G7*12</f>
        <v>25344</v>
      </c>
      <c r="I7" s="25"/>
      <c r="J7" s="22"/>
      <c r="K7" s="10"/>
      <c r="L7" s="15"/>
      <c r="M7" s="10"/>
      <c r="N7" s="15">
        <v>8</v>
      </c>
      <c r="O7" s="10">
        <f>G7*N7</f>
        <v>16896</v>
      </c>
      <c r="P7" s="15"/>
      <c r="Q7" s="10"/>
      <c r="R7" s="15">
        <v>67</v>
      </c>
      <c r="S7" s="10">
        <f>G7*R7</f>
        <v>141504</v>
      </c>
      <c r="T7" s="16">
        <v>1.2</v>
      </c>
      <c r="U7" s="10">
        <f>(H7+I7+K7+M7+O7+Q7+S7)*T7</f>
        <v>220493</v>
      </c>
      <c r="V7" s="14">
        <f>H7+I7+K7+M7+O7+Q7+S7+U7</f>
        <v>404237</v>
      </c>
      <c r="W7" s="10">
        <f t="shared" si="0"/>
        <v>33686</v>
      </c>
      <c r="X7" s="10">
        <f t="shared" si="1"/>
        <v>30624</v>
      </c>
      <c r="Y7" s="11" t="e">
        <f>X7/#REF!</f>
        <v>#REF!</v>
      </c>
      <c r="Z7" s="11">
        <v>14</v>
      </c>
      <c r="AA7" s="10">
        <f t="shared" si="2"/>
        <v>33686</v>
      </c>
      <c r="AB7" s="11">
        <v>24.5</v>
      </c>
      <c r="AC7" s="10">
        <f>(G7*AB7)*2.2</f>
        <v>113837</v>
      </c>
      <c r="AD7" s="10">
        <f>(V7+AC7)/12*4.5</f>
        <v>194278</v>
      </c>
      <c r="AE7" s="10">
        <f>(V7+AC7+AD7)/12*3.5</f>
        <v>207769</v>
      </c>
      <c r="AF7" s="10">
        <f t="shared" si="3"/>
        <v>33686</v>
      </c>
      <c r="AG7" s="14">
        <f>V7+AC7+AD7+AE7+AF7</f>
        <v>953807</v>
      </c>
      <c r="AH7" s="14">
        <f t="shared" si="4"/>
        <v>79484</v>
      </c>
    </row>
    <row r="8" spans="1:34" ht="46.5" hidden="1" customHeight="1">
      <c r="A8" s="13">
        <v>3</v>
      </c>
      <c r="B8" s="12" t="s">
        <v>28</v>
      </c>
      <c r="C8" s="28"/>
      <c r="D8" s="1" t="s">
        <v>7</v>
      </c>
      <c r="E8" s="20">
        <v>2030</v>
      </c>
      <c r="F8" s="57">
        <f>E8*1.04</f>
        <v>2111.1999999999998</v>
      </c>
      <c r="G8" s="24">
        <f>ROUNDUP(F8,0)</f>
        <v>2112</v>
      </c>
      <c r="H8" s="23">
        <f>G8*12</f>
        <v>25344</v>
      </c>
      <c r="I8" s="25"/>
      <c r="J8" s="22"/>
      <c r="K8" s="10"/>
      <c r="L8" s="15"/>
      <c r="M8" s="10"/>
      <c r="N8" s="15">
        <v>8</v>
      </c>
      <c r="O8" s="10">
        <f>G8*N8</f>
        <v>16896</v>
      </c>
      <c r="P8" s="15"/>
      <c r="Q8" s="10"/>
      <c r="R8" s="15">
        <v>67</v>
      </c>
      <c r="S8" s="10">
        <f>G8*R8</f>
        <v>141504</v>
      </c>
      <c r="T8" s="16">
        <v>1.2</v>
      </c>
      <c r="U8" s="10">
        <f>(H8+I8+K8+M8+O8+Q8+S8)*T8</f>
        <v>220493</v>
      </c>
      <c r="V8" s="14">
        <f>H8+I8+K8+M8+O8+Q8+S8+U8</f>
        <v>404237</v>
      </c>
      <c r="W8" s="10">
        <f t="shared" si="0"/>
        <v>33686</v>
      </c>
      <c r="X8" s="10">
        <f t="shared" si="1"/>
        <v>30624</v>
      </c>
      <c r="Y8" s="11" t="e">
        <f>X8/#REF!</f>
        <v>#REF!</v>
      </c>
      <c r="Z8" s="11">
        <v>14</v>
      </c>
      <c r="AA8" s="10">
        <f t="shared" si="2"/>
        <v>33686</v>
      </c>
      <c r="AB8" s="11">
        <v>24.5</v>
      </c>
      <c r="AC8" s="10">
        <f>(G8*AB8)*2.2</f>
        <v>113837</v>
      </c>
      <c r="AD8" s="10">
        <f>(V8+AC8)/12*4.5</f>
        <v>194278</v>
      </c>
      <c r="AE8" s="10">
        <f>(V8+AC8+AD8)/12*3.5</f>
        <v>207769</v>
      </c>
      <c r="AF8" s="10">
        <f t="shared" si="3"/>
        <v>33686</v>
      </c>
      <c r="AG8" s="14">
        <f>V8+AC8+AD8+AE8+AF8</f>
        <v>953807</v>
      </c>
      <c r="AH8" s="14">
        <f t="shared" si="4"/>
        <v>79484</v>
      </c>
    </row>
    <row r="9" spans="1:34" ht="14.25">
      <c r="A9" s="255" t="s">
        <v>50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7"/>
    </row>
    <row r="10" spans="1:34" ht="36.75" customHeight="1">
      <c r="A10" s="13">
        <v>1</v>
      </c>
      <c r="B10" s="12" t="s">
        <v>14</v>
      </c>
      <c r="C10" s="28" t="s">
        <v>43</v>
      </c>
      <c r="D10" s="12" t="s">
        <v>9</v>
      </c>
      <c r="E10" s="20">
        <v>2189</v>
      </c>
      <c r="F10" s="57">
        <f t="shared" ref="F10:F16" si="5">E10*1.04*1.04</f>
        <v>2367.6</v>
      </c>
      <c r="G10" s="24">
        <f t="shared" ref="G10:G15" si="6">ROUNDUP(F10,0)</f>
        <v>2368</v>
      </c>
      <c r="H10" s="23">
        <f t="shared" ref="H10:H15" si="7">G10*12</f>
        <v>28416</v>
      </c>
      <c r="I10" s="25">
        <v>26136</v>
      </c>
      <c r="J10" s="22">
        <v>3.6</v>
      </c>
      <c r="K10" s="10">
        <f t="shared" ref="K10:K16" si="8">G10*J10</f>
        <v>8525</v>
      </c>
      <c r="L10" s="15">
        <v>12</v>
      </c>
      <c r="M10" s="10">
        <f t="shared" ref="M10:M16" si="9">G10*L10</f>
        <v>28416</v>
      </c>
      <c r="N10" s="15">
        <v>8</v>
      </c>
      <c r="O10" s="10">
        <f t="shared" ref="O10:O16" si="10">G10*N10</f>
        <v>18944</v>
      </c>
      <c r="P10" s="15"/>
      <c r="Q10" s="10"/>
      <c r="R10" s="15">
        <v>36</v>
      </c>
      <c r="S10" s="10">
        <f t="shared" ref="S10:S16" si="11">G10*R10</f>
        <v>85248</v>
      </c>
      <c r="T10" s="16">
        <v>1.2</v>
      </c>
      <c r="U10" s="10">
        <f t="shared" ref="U10:U17" si="12">(H10+I10+K10+M10+O10+Q10+S10)*T10</f>
        <v>234822</v>
      </c>
      <c r="V10" s="14">
        <f t="shared" ref="V10:V16" si="13">H10+I10+K10+M10+O10+Q10+S10+U10</f>
        <v>430507</v>
      </c>
      <c r="W10" s="10">
        <f t="shared" si="0"/>
        <v>35876</v>
      </c>
      <c r="X10" s="10">
        <f t="shared" si="1"/>
        <v>32615</v>
      </c>
      <c r="Y10" s="11" t="e">
        <f>X10/#REF!</f>
        <v>#REF!</v>
      </c>
      <c r="Z10" s="11">
        <v>12.5</v>
      </c>
      <c r="AA10" s="10">
        <f t="shared" si="2"/>
        <v>35876</v>
      </c>
      <c r="AB10" s="11">
        <v>22</v>
      </c>
      <c r="AC10" s="10">
        <f t="shared" ref="AC10:AC16" si="14">(G10*AB10)*2.2</f>
        <v>114611</v>
      </c>
      <c r="AD10" s="10">
        <f t="shared" ref="AD10:AD15" si="15">(V10+AC10)/12*4.5</f>
        <v>204419</v>
      </c>
      <c r="AE10" s="10">
        <f t="shared" ref="AE10:AE15" si="16">(V10+AC10+AD10)/12*3.5</f>
        <v>218615</v>
      </c>
      <c r="AF10" s="10">
        <f t="shared" si="3"/>
        <v>35876</v>
      </c>
      <c r="AG10" s="14">
        <f t="shared" ref="AG10:AG15" si="17">V10+AC10+AD10+AE10+AF10</f>
        <v>1004028</v>
      </c>
      <c r="AH10" s="14">
        <f t="shared" si="4"/>
        <v>83669</v>
      </c>
    </row>
    <row r="11" spans="1:34" ht="36.75" customHeight="1">
      <c r="A11" s="13">
        <v>2</v>
      </c>
      <c r="B11" s="12" t="s">
        <v>41</v>
      </c>
      <c r="C11" s="29" t="s">
        <v>44</v>
      </c>
      <c r="D11" s="12" t="s">
        <v>10</v>
      </c>
      <c r="E11" s="20">
        <v>1870</v>
      </c>
      <c r="F11" s="57">
        <f t="shared" si="5"/>
        <v>2022.6</v>
      </c>
      <c r="G11" s="24">
        <f t="shared" si="6"/>
        <v>2023</v>
      </c>
      <c r="H11" s="23">
        <f t="shared" si="7"/>
        <v>24276</v>
      </c>
      <c r="I11" s="25">
        <v>16404</v>
      </c>
      <c r="J11" s="22">
        <v>3.6</v>
      </c>
      <c r="K11" s="10">
        <f t="shared" si="8"/>
        <v>7283</v>
      </c>
      <c r="L11" s="15">
        <v>10</v>
      </c>
      <c r="M11" s="10">
        <f t="shared" si="9"/>
        <v>20230</v>
      </c>
      <c r="N11" s="15">
        <v>8</v>
      </c>
      <c r="O11" s="10">
        <f t="shared" si="10"/>
        <v>16184</v>
      </c>
      <c r="P11" s="15"/>
      <c r="Q11" s="10"/>
      <c r="R11" s="15">
        <v>31.5</v>
      </c>
      <c r="S11" s="10">
        <f t="shared" si="11"/>
        <v>63725</v>
      </c>
      <c r="T11" s="16">
        <v>1.2</v>
      </c>
      <c r="U11" s="10">
        <f t="shared" si="12"/>
        <v>177722</v>
      </c>
      <c r="V11" s="14">
        <f t="shared" si="13"/>
        <v>325824</v>
      </c>
      <c r="W11" s="10">
        <f>V11/12</f>
        <v>27152</v>
      </c>
      <c r="X11" s="10">
        <f>W11*2/2.2</f>
        <v>24684</v>
      </c>
      <c r="Y11" s="11" t="e">
        <f>X11/#REF!</f>
        <v>#REF!</v>
      </c>
      <c r="Z11" s="11">
        <v>11</v>
      </c>
      <c r="AA11" s="10">
        <f t="shared" si="2"/>
        <v>27152</v>
      </c>
      <c r="AB11" s="11">
        <v>19.5</v>
      </c>
      <c r="AC11" s="10">
        <f t="shared" si="14"/>
        <v>86787</v>
      </c>
      <c r="AD11" s="10">
        <f t="shared" si="15"/>
        <v>154729</v>
      </c>
      <c r="AE11" s="10">
        <f t="shared" si="16"/>
        <v>165474</v>
      </c>
      <c r="AF11" s="10">
        <f>V11/12</f>
        <v>27152</v>
      </c>
      <c r="AG11" s="14">
        <f t="shared" si="17"/>
        <v>759966</v>
      </c>
      <c r="AH11" s="14">
        <f t="shared" si="4"/>
        <v>63331</v>
      </c>
    </row>
    <row r="12" spans="1:34" ht="36.75" customHeight="1">
      <c r="A12" s="13">
        <v>3</v>
      </c>
      <c r="B12" s="12" t="s">
        <v>2</v>
      </c>
      <c r="C12" s="259" t="s">
        <v>45</v>
      </c>
      <c r="D12" s="12" t="s">
        <v>11</v>
      </c>
      <c r="E12" s="20">
        <v>1808</v>
      </c>
      <c r="F12" s="57">
        <f t="shared" si="5"/>
        <v>1955.5</v>
      </c>
      <c r="G12" s="24">
        <f t="shared" si="6"/>
        <v>1956</v>
      </c>
      <c r="H12" s="23">
        <f t="shared" si="7"/>
        <v>23472</v>
      </c>
      <c r="I12" s="25">
        <v>12720</v>
      </c>
      <c r="J12" s="22">
        <v>3.6</v>
      </c>
      <c r="K12" s="10">
        <f t="shared" si="8"/>
        <v>7042</v>
      </c>
      <c r="L12" s="15">
        <v>9</v>
      </c>
      <c r="M12" s="10">
        <f t="shared" si="9"/>
        <v>17604</v>
      </c>
      <c r="N12" s="15">
        <v>8</v>
      </c>
      <c r="O12" s="10">
        <f t="shared" si="10"/>
        <v>15648</v>
      </c>
      <c r="P12" s="15"/>
      <c r="Q12" s="10"/>
      <c r="R12" s="15">
        <v>29</v>
      </c>
      <c r="S12" s="10">
        <f t="shared" si="11"/>
        <v>56724</v>
      </c>
      <c r="T12" s="16">
        <v>1.2</v>
      </c>
      <c r="U12" s="10">
        <f t="shared" si="12"/>
        <v>159852</v>
      </c>
      <c r="V12" s="14">
        <f t="shared" si="13"/>
        <v>293062</v>
      </c>
      <c r="W12" s="10">
        <f t="shared" si="0"/>
        <v>24422</v>
      </c>
      <c r="X12" s="10">
        <f t="shared" si="1"/>
        <v>22202</v>
      </c>
      <c r="Y12" s="11" t="e">
        <f>X12/#REF!</f>
        <v>#REF!</v>
      </c>
      <c r="Z12" s="11">
        <v>10</v>
      </c>
      <c r="AA12" s="10">
        <f t="shared" si="2"/>
        <v>24422</v>
      </c>
      <c r="AB12" s="11">
        <v>17.5</v>
      </c>
      <c r="AC12" s="10">
        <f t="shared" si="14"/>
        <v>75306</v>
      </c>
      <c r="AD12" s="10">
        <f t="shared" si="15"/>
        <v>138138</v>
      </c>
      <c r="AE12" s="10">
        <f t="shared" si="16"/>
        <v>147731</v>
      </c>
      <c r="AF12" s="10">
        <f t="shared" si="3"/>
        <v>24422</v>
      </c>
      <c r="AG12" s="14">
        <f t="shared" si="17"/>
        <v>678659</v>
      </c>
      <c r="AH12" s="14">
        <f t="shared" si="4"/>
        <v>56555</v>
      </c>
    </row>
    <row r="13" spans="1:34" ht="36.75" customHeight="1">
      <c r="A13" s="13">
        <v>4</v>
      </c>
      <c r="B13" s="12" t="s">
        <v>3</v>
      </c>
      <c r="C13" s="260"/>
      <c r="D13" s="12" t="s">
        <v>11</v>
      </c>
      <c r="E13" s="20">
        <v>1784</v>
      </c>
      <c r="F13" s="57">
        <f t="shared" si="5"/>
        <v>1929.6</v>
      </c>
      <c r="G13" s="24">
        <f t="shared" si="6"/>
        <v>1930</v>
      </c>
      <c r="H13" s="23">
        <f t="shared" si="7"/>
        <v>23160</v>
      </c>
      <c r="I13" s="25">
        <v>12720</v>
      </c>
      <c r="J13" s="22">
        <v>3.6</v>
      </c>
      <c r="K13" s="10">
        <f t="shared" si="8"/>
        <v>6948</v>
      </c>
      <c r="L13" s="15">
        <v>9</v>
      </c>
      <c r="M13" s="10">
        <f t="shared" si="9"/>
        <v>17370</v>
      </c>
      <c r="N13" s="15">
        <v>8</v>
      </c>
      <c r="O13" s="10">
        <f t="shared" si="10"/>
        <v>15440</v>
      </c>
      <c r="P13" s="15"/>
      <c r="Q13" s="10"/>
      <c r="R13" s="15">
        <v>29</v>
      </c>
      <c r="S13" s="10">
        <f t="shared" si="11"/>
        <v>55970</v>
      </c>
      <c r="T13" s="16">
        <v>1.2</v>
      </c>
      <c r="U13" s="10">
        <f t="shared" si="12"/>
        <v>157930</v>
      </c>
      <c r="V13" s="14">
        <f t="shared" si="13"/>
        <v>289538</v>
      </c>
      <c r="W13" s="10">
        <f t="shared" si="0"/>
        <v>24128</v>
      </c>
      <c r="X13" s="10">
        <f t="shared" si="1"/>
        <v>21935</v>
      </c>
      <c r="Y13" s="11" t="e">
        <f>X13/#REF!</f>
        <v>#REF!</v>
      </c>
      <c r="Z13" s="11">
        <v>10</v>
      </c>
      <c r="AA13" s="10">
        <f t="shared" si="2"/>
        <v>24128</v>
      </c>
      <c r="AB13" s="11">
        <v>17.5</v>
      </c>
      <c r="AC13" s="10">
        <f t="shared" si="14"/>
        <v>74305</v>
      </c>
      <c r="AD13" s="10">
        <f t="shared" si="15"/>
        <v>136441</v>
      </c>
      <c r="AE13" s="10">
        <f t="shared" si="16"/>
        <v>145916</v>
      </c>
      <c r="AF13" s="10">
        <f t="shared" si="3"/>
        <v>24128</v>
      </c>
      <c r="AG13" s="14">
        <f t="shared" si="17"/>
        <v>670328</v>
      </c>
      <c r="AH13" s="14">
        <f t="shared" si="4"/>
        <v>55861</v>
      </c>
    </row>
    <row r="14" spans="1:34" ht="38.25" customHeight="1">
      <c r="A14" s="13">
        <v>5</v>
      </c>
      <c r="B14" s="12" t="s">
        <v>4</v>
      </c>
      <c r="C14" s="259" t="s">
        <v>46</v>
      </c>
      <c r="D14" s="12" t="s">
        <v>12</v>
      </c>
      <c r="E14" s="20">
        <v>1722</v>
      </c>
      <c r="F14" s="57">
        <f t="shared" si="5"/>
        <v>1862.5</v>
      </c>
      <c r="G14" s="24">
        <f t="shared" si="6"/>
        <v>1863</v>
      </c>
      <c r="H14" s="23">
        <f t="shared" si="7"/>
        <v>22356</v>
      </c>
      <c r="I14" s="25">
        <v>8556</v>
      </c>
      <c r="J14" s="22">
        <v>3.6</v>
      </c>
      <c r="K14" s="10">
        <f t="shared" si="8"/>
        <v>6707</v>
      </c>
      <c r="L14" s="15">
        <v>8</v>
      </c>
      <c r="M14" s="10">
        <f t="shared" si="9"/>
        <v>14904</v>
      </c>
      <c r="N14" s="15">
        <v>8</v>
      </c>
      <c r="O14" s="10">
        <f t="shared" si="10"/>
        <v>14904</v>
      </c>
      <c r="P14" s="15"/>
      <c r="Q14" s="10"/>
      <c r="R14" s="15">
        <v>26.5</v>
      </c>
      <c r="S14" s="10">
        <f t="shared" si="11"/>
        <v>49370</v>
      </c>
      <c r="T14" s="16">
        <v>1.2</v>
      </c>
      <c r="U14" s="10">
        <f t="shared" si="12"/>
        <v>140156</v>
      </c>
      <c r="V14" s="14">
        <f t="shared" si="13"/>
        <v>256953</v>
      </c>
      <c r="W14" s="10">
        <f t="shared" si="0"/>
        <v>21413</v>
      </c>
      <c r="X14" s="10">
        <f t="shared" si="1"/>
        <v>19466</v>
      </c>
      <c r="Y14" s="11" t="e">
        <f>X14/#REF!</f>
        <v>#REF!</v>
      </c>
      <c r="Z14" s="11">
        <v>9.5</v>
      </c>
      <c r="AA14" s="10">
        <f t="shared" si="2"/>
        <v>21413</v>
      </c>
      <c r="AB14" s="11">
        <v>17</v>
      </c>
      <c r="AC14" s="10">
        <f t="shared" si="14"/>
        <v>69676</v>
      </c>
      <c r="AD14" s="10">
        <f t="shared" si="15"/>
        <v>122486</v>
      </c>
      <c r="AE14" s="10">
        <f t="shared" si="16"/>
        <v>130992</v>
      </c>
      <c r="AF14" s="10">
        <f t="shared" si="3"/>
        <v>21413</v>
      </c>
      <c r="AG14" s="14">
        <f t="shared" si="17"/>
        <v>601520</v>
      </c>
      <c r="AH14" s="14">
        <f t="shared" si="4"/>
        <v>50127</v>
      </c>
    </row>
    <row r="15" spans="1:34" ht="38.25" customHeight="1">
      <c r="A15" s="13">
        <v>6</v>
      </c>
      <c r="B15" s="12" t="s">
        <v>6</v>
      </c>
      <c r="C15" s="261"/>
      <c r="D15" s="12" t="s">
        <v>12</v>
      </c>
      <c r="E15" s="20">
        <v>1697</v>
      </c>
      <c r="F15" s="57">
        <f t="shared" si="5"/>
        <v>1835.5</v>
      </c>
      <c r="G15" s="24">
        <f t="shared" si="6"/>
        <v>1836</v>
      </c>
      <c r="H15" s="23">
        <f t="shared" si="7"/>
        <v>22032</v>
      </c>
      <c r="I15" s="25">
        <v>8556</v>
      </c>
      <c r="J15" s="22">
        <v>3.6</v>
      </c>
      <c r="K15" s="10">
        <f t="shared" si="8"/>
        <v>6610</v>
      </c>
      <c r="L15" s="15">
        <v>8</v>
      </c>
      <c r="M15" s="10">
        <f t="shared" si="9"/>
        <v>14688</v>
      </c>
      <c r="N15" s="15">
        <v>8</v>
      </c>
      <c r="O15" s="10">
        <f t="shared" si="10"/>
        <v>14688</v>
      </c>
      <c r="P15" s="15"/>
      <c r="Q15" s="10"/>
      <c r="R15" s="15">
        <v>26.5</v>
      </c>
      <c r="S15" s="10">
        <f t="shared" si="11"/>
        <v>48654</v>
      </c>
      <c r="T15" s="16">
        <v>1.2</v>
      </c>
      <c r="U15" s="10">
        <f t="shared" si="12"/>
        <v>138274</v>
      </c>
      <c r="V15" s="14">
        <f t="shared" si="13"/>
        <v>253502</v>
      </c>
      <c r="W15" s="10">
        <f t="shared" si="0"/>
        <v>21125</v>
      </c>
      <c r="X15" s="10">
        <f t="shared" si="1"/>
        <v>19205</v>
      </c>
      <c r="Y15" s="11" t="e">
        <f>X15/#REF!</f>
        <v>#REF!</v>
      </c>
      <c r="Z15" s="11">
        <v>9.5</v>
      </c>
      <c r="AA15" s="10">
        <f t="shared" si="2"/>
        <v>21125</v>
      </c>
      <c r="AB15" s="11">
        <v>17</v>
      </c>
      <c r="AC15" s="10">
        <f t="shared" si="14"/>
        <v>68666</v>
      </c>
      <c r="AD15" s="10">
        <f t="shared" si="15"/>
        <v>120813</v>
      </c>
      <c r="AE15" s="10">
        <f t="shared" si="16"/>
        <v>129203</v>
      </c>
      <c r="AF15" s="10">
        <f t="shared" si="3"/>
        <v>21125</v>
      </c>
      <c r="AG15" s="14">
        <f t="shared" si="17"/>
        <v>593309</v>
      </c>
      <c r="AH15" s="14">
        <f t="shared" si="4"/>
        <v>49442</v>
      </c>
    </row>
    <row r="16" spans="1:34" ht="41.25" customHeight="1" thickBot="1">
      <c r="A16" s="95">
        <v>10</v>
      </c>
      <c r="B16" s="96" t="s">
        <v>5</v>
      </c>
      <c r="C16" s="93"/>
      <c r="D16" s="96" t="s">
        <v>12</v>
      </c>
      <c r="E16" s="98">
        <v>1624</v>
      </c>
      <c r="F16" s="99">
        <f t="shared" si="5"/>
        <v>1756.5</v>
      </c>
      <c r="G16" s="100">
        <f>ROUNDUP(F16,0)</f>
        <v>1757</v>
      </c>
      <c r="H16" s="101">
        <f>G16*12</f>
        <v>21084</v>
      </c>
      <c r="I16" s="102">
        <v>8556</v>
      </c>
      <c r="J16" s="103">
        <v>3.6</v>
      </c>
      <c r="K16" s="104">
        <f t="shared" si="8"/>
        <v>6325</v>
      </c>
      <c r="L16" s="105">
        <v>8</v>
      </c>
      <c r="M16" s="104">
        <f t="shared" si="9"/>
        <v>14056</v>
      </c>
      <c r="N16" s="105">
        <v>8</v>
      </c>
      <c r="O16" s="104">
        <f t="shared" si="10"/>
        <v>14056</v>
      </c>
      <c r="P16" s="105"/>
      <c r="Q16" s="104"/>
      <c r="R16" s="105">
        <v>26.5</v>
      </c>
      <c r="S16" s="104">
        <f t="shared" si="11"/>
        <v>46561</v>
      </c>
      <c r="T16" s="106">
        <v>1.2</v>
      </c>
      <c r="U16" s="104">
        <f t="shared" si="12"/>
        <v>132766</v>
      </c>
      <c r="V16" s="97">
        <f t="shared" si="13"/>
        <v>243404</v>
      </c>
      <c r="W16" s="104">
        <f t="shared" si="0"/>
        <v>20284</v>
      </c>
      <c r="X16" s="104">
        <f t="shared" si="1"/>
        <v>18440</v>
      </c>
      <c r="Y16" s="107" t="e">
        <f>X16/#REF!</f>
        <v>#REF!</v>
      </c>
      <c r="Z16" s="107">
        <v>9.5</v>
      </c>
      <c r="AA16" s="104">
        <f>V16/12</f>
        <v>20284</v>
      </c>
      <c r="AB16" s="107">
        <v>17</v>
      </c>
      <c r="AC16" s="104">
        <f t="shared" si="14"/>
        <v>65712</v>
      </c>
      <c r="AD16" s="104">
        <f>(V16+AC16)/12*4.5</f>
        <v>115919</v>
      </c>
      <c r="AE16" s="104">
        <f>(V16+AC16+AD16)/12*3.5</f>
        <v>123969</v>
      </c>
      <c r="AF16" s="104">
        <f t="shared" si="3"/>
        <v>20284</v>
      </c>
      <c r="AG16" s="94">
        <f>V16+AC16+AD16+AE16+AF16</f>
        <v>569288</v>
      </c>
      <c r="AH16" s="94">
        <f>AG16/12</f>
        <v>47441</v>
      </c>
    </row>
    <row r="17" spans="18:32">
      <c r="R17" s="15" t="s">
        <v>93</v>
      </c>
      <c r="S17" s="10">
        <v>11163</v>
      </c>
      <c r="T17" s="119">
        <v>1.2</v>
      </c>
      <c r="U17" s="10">
        <f t="shared" si="12"/>
        <v>13396</v>
      </c>
      <c r="V17" s="17"/>
      <c r="W17" s="9">
        <f t="shared" si="0"/>
        <v>0</v>
      </c>
      <c r="X17" s="9">
        <f t="shared" si="1"/>
        <v>0</v>
      </c>
      <c r="Y17" s="9"/>
      <c r="Z17" s="9"/>
      <c r="AA17" s="14">
        <f>S17+U17</f>
        <v>24559</v>
      </c>
      <c r="AF17" s="118"/>
    </row>
  </sheetData>
  <mergeCells count="6">
    <mergeCell ref="H1:AC1"/>
    <mergeCell ref="A2:AG2"/>
    <mergeCell ref="A9:AH9"/>
    <mergeCell ref="A5:D5"/>
    <mergeCell ref="C12:C13"/>
    <mergeCell ref="C14:C15"/>
  </mergeCells>
  <pageMargins left="0.31496062992125984" right="0.31496062992125984" top="0.74803149606299213" bottom="0.35433070866141736" header="0.31496062992125984" footer="0.11811023622047245"/>
  <pageSetup paperSize="9" scale="41" fitToHeight="14" orientation="landscape" horizontalDpi="300" verticalDpi="300" r:id="rId1"/>
  <headerFooter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H35"/>
  <sheetViews>
    <sheetView tabSelected="1" topLeftCell="A7" zoomScale="70" zoomScaleNormal="70" workbookViewId="0">
      <selection activeCell="E42" sqref="E42"/>
    </sheetView>
  </sheetViews>
  <sheetFormatPr defaultRowHeight="12.75"/>
  <cols>
    <col min="1" max="1" width="4.42578125" style="65" customWidth="1"/>
    <col min="2" max="2" width="49.28515625" style="66" customWidth="1"/>
    <col min="3" max="3" width="23.5703125" style="66" customWidth="1"/>
    <col min="4" max="4" width="17" style="66" customWidth="1"/>
    <col min="5" max="5" width="12" style="66" customWidth="1"/>
    <col min="6" max="16384" width="9.140625" style="66"/>
  </cols>
  <sheetData>
    <row r="1" spans="1:8" ht="15.75" customHeight="1">
      <c r="C1" s="67"/>
      <c r="D1" s="65"/>
    </row>
    <row r="2" spans="1:8" ht="112.5" customHeight="1">
      <c r="A2" s="249" t="s">
        <v>91</v>
      </c>
      <c r="B2" s="249"/>
      <c r="C2" s="249"/>
      <c r="D2" s="249"/>
    </row>
    <row r="3" spans="1:8" ht="48" customHeight="1">
      <c r="A3" s="74"/>
      <c r="B3" s="250" t="s">
        <v>63</v>
      </c>
      <c r="C3" s="250"/>
      <c r="D3" s="250"/>
      <c r="H3" s="173"/>
    </row>
    <row r="4" spans="1:8" s="70" customFormat="1" ht="26.25" customHeight="1">
      <c r="A4" s="69" t="s">
        <v>52</v>
      </c>
      <c r="B4" s="75" t="s">
        <v>53</v>
      </c>
      <c r="C4" s="76" t="s">
        <v>54</v>
      </c>
      <c r="D4" s="76"/>
    </row>
    <row r="5" spans="1:8" ht="106.5" customHeight="1">
      <c r="A5" s="77" t="s">
        <v>64</v>
      </c>
      <c r="B5" s="77"/>
      <c r="C5" s="77"/>
      <c r="D5" s="78" t="s">
        <v>5</v>
      </c>
    </row>
    <row r="6" spans="1:8" ht="45" customHeight="1">
      <c r="A6" s="77"/>
      <c r="B6" s="77"/>
      <c r="C6" s="77"/>
      <c r="D6" s="78" t="s">
        <v>65</v>
      </c>
    </row>
    <row r="7" spans="1:8" ht="27" customHeight="1">
      <c r="A7" s="79">
        <v>1</v>
      </c>
      <c r="B7" s="71" t="s">
        <v>66</v>
      </c>
      <c r="C7" s="124" t="s">
        <v>94</v>
      </c>
      <c r="D7" s="123">
        <f>'коэфф.кратности Русскинская'!N4</f>
        <v>7762</v>
      </c>
    </row>
    <row r="8" spans="1:8" ht="18" customHeight="1">
      <c r="A8" s="79">
        <v>2</v>
      </c>
      <c r="B8" s="71" t="s">
        <v>67</v>
      </c>
      <c r="C8" s="71" t="s">
        <v>55</v>
      </c>
      <c r="D8" s="90">
        <f>D7*12</f>
        <v>93144</v>
      </c>
    </row>
    <row r="9" spans="1:8" ht="25.5">
      <c r="A9" s="79">
        <v>3</v>
      </c>
      <c r="B9" s="172" t="s">
        <v>68</v>
      </c>
      <c r="C9" s="71"/>
      <c r="D9" s="90"/>
    </row>
    <row r="10" spans="1:8" ht="29.25" customHeight="1">
      <c r="A10" s="79">
        <v>4</v>
      </c>
      <c r="B10" s="172" t="s">
        <v>70</v>
      </c>
      <c r="C10" s="71"/>
      <c r="D10" s="90"/>
    </row>
    <row r="11" spans="1:8" ht="43.5" customHeight="1">
      <c r="A11" s="79">
        <v>5</v>
      </c>
      <c r="B11" s="172" t="s">
        <v>184</v>
      </c>
      <c r="C11" s="71"/>
      <c r="D11" s="90"/>
    </row>
    <row r="12" spans="1:8" ht="108.75" customHeight="1">
      <c r="A12" s="79">
        <v>6</v>
      </c>
      <c r="B12" s="71" t="s">
        <v>203</v>
      </c>
      <c r="C12" s="171" t="s">
        <v>69</v>
      </c>
      <c r="D12" s="90"/>
    </row>
    <row r="13" spans="1:8" ht="52.5" customHeight="1">
      <c r="A13" s="79">
        <v>7</v>
      </c>
      <c r="B13" s="71" t="s">
        <v>189</v>
      </c>
      <c r="C13" s="171" t="s">
        <v>191</v>
      </c>
      <c r="D13" s="170">
        <f>D7*2</f>
        <v>15524</v>
      </c>
    </row>
    <row r="14" spans="1:8" ht="40.5" customHeight="1">
      <c r="A14" s="79">
        <v>8</v>
      </c>
      <c r="B14" s="71" t="s">
        <v>190</v>
      </c>
      <c r="C14" s="308" t="s">
        <v>90</v>
      </c>
      <c r="D14" s="90">
        <f>D7*35</f>
        <v>271670</v>
      </c>
      <c r="E14" s="297"/>
      <c r="F14" s="296"/>
    </row>
    <row r="15" spans="1:8" ht="39" customHeight="1">
      <c r="A15" s="79">
        <v>9</v>
      </c>
      <c r="B15" s="72" t="s">
        <v>56</v>
      </c>
      <c r="C15" s="301" t="s">
        <v>75</v>
      </c>
      <c r="D15" s="91">
        <f>D8+D9+D10+D11+D12+D13+D14</f>
        <v>380338</v>
      </c>
      <c r="E15" s="298"/>
      <c r="F15" s="296"/>
    </row>
    <row r="16" spans="1:8" ht="14.25" customHeight="1">
      <c r="A16" s="251" t="s">
        <v>57</v>
      </c>
      <c r="B16" s="252"/>
      <c r="C16" s="252"/>
      <c r="D16" s="306"/>
      <c r="E16" s="296"/>
      <c r="F16" s="296"/>
    </row>
    <row r="17" spans="1:6" ht="18.75" customHeight="1">
      <c r="A17" s="71">
        <v>10</v>
      </c>
      <c r="B17" s="71" t="s">
        <v>76</v>
      </c>
      <c r="C17" s="301" t="s">
        <v>77</v>
      </c>
      <c r="D17" s="90">
        <f>D15*0.7</f>
        <v>266237</v>
      </c>
      <c r="E17" s="299"/>
      <c r="F17" s="296"/>
    </row>
    <row r="18" spans="1:6" ht="35.25" customHeight="1">
      <c r="A18" s="71">
        <v>11</v>
      </c>
      <c r="B18" s="71" t="s">
        <v>58</v>
      </c>
      <c r="C18" s="301" t="s">
        <v>78</v>
      </c>
      <c r="D18" s="90">
        <f>D15*0.5</f>
        <v>190169</v>
      </c>
      <c r="E18" s="299"/>
      <c r="F18" s="296"/>
    </row>
    <row r="19" spans="1:6" ht="16.5" customHeight="1">
      <c r="A19" s="71">
        <v>12</v>
      </c>
      <c r="B19" s="72" t="s">
        <v>59</v>
      </c>
      <c r="C19" s="301" t="s">
        <v>79</v>
      </c>
      <c r="D19" s="91">
        <f>D15+D17+D18</f>
        <v>836744</v>
      </c>
      <c r="E19" s="296"/>
      <c r="F19" s="296"/>
    </row>
    <row r="20" spans="1:6" ht="16.5" customHeight="1">
      <c r="A20" s="80">
        <v>13</v>
      </c>
      <c r="B20" s="81" t="s">
        <v>60</v>
      </c>
      <c r="C20" s="303" t="s">
        <v>80</v>
      </c>
      <c r="D20" s="120">
        <f>D19/12</f>
        <v>69729</v>
      </c>
      <c r="E20" s="300"/>
      <c r="F20" s="296"/>
    </row>
    <row r="21" spans="1:6" ht="35.25" customHeight="1">
      <c r="A21" s="71">
        <v>14</v>
      </c>
      <c r="B21" s="71" t="s">
        <v>179</v>
      </c>
      <c r="C21" s="301" t="s">
        <v>178</v>
      </c>
      <c r="D21" s="90">
        <f>D20*6</f>
        <v>418374</v>
      </c>
      <c r="E21" s="296"/>
      <c r="F21" s="296"/>
    </row>
    <row r="22" spans="1:6" ht="56.25" customHeight="1">
      <c r="A22" s="71">
        <v>15</v>
      </c>
      <c r="B22" s="71" t="s">
        <v>204</v>
      </c>
      <c r="C22" s="301" t="s">
        <v>181</v>
      </c>
      <c r="D22" s="90">
        <f>D20*2</f>
        <v>139458</v>
      </c>
      <c r="E22" s="296"/>
      <c r="F22" s="296"/>
    </row>
    <row r="23" spans="1:6" ht="38.25" customHeight="1">
      <c r="A23" s="71">
        <v>16</v>
      </c>
      <c r="B23" s="71" t="s">
        <v>62</v>
      </c>
      <c r="C23" s="301" t="s">
        <v>82</v>
      </c>
      <c r="D23" s="90">
        <f>D20</f>
        <v>69729</v>
      </c>
      <c r="E23" s="296"/>
      <c r="F23" s="296"/>
    </row>
    <row r="24" spans="1:6" ht="18" customHeight="1">
      <c r="A24" s="71">
        <v>17</v>
      </c>
      <c r="B24" s="72" t="s">
        <v>83</v>
      </c>
      <c r="C24" s="301" t="s">
        <v>84</v>
      </c>
      <c r="D24" s="125">
        <f>D19+D21+D22+D23</f>
        <v>1464305</v>
      </c>
      <c r="E24" s="298"/>
      <c r="F24" s="296"/>
    </row>
    <row r="25" spans="1:6" ht="18" hidden="1" customHeight="1">
      <c r="A25" s="68"/>
      <c r="B25" s="82" t="s">
        <v>85</v>
      </c>
      <c r="C25" s="304"/>
      <c r="D25" s="84">
        <f>D24/12</f>
        <v>122025</v>
      </c>
      <c r="E25" s="296"/>
      <c r="F25" s="296"/>
    </row>
    <row r="26" spans="1:6" ht="18" hidden="1" customHeight="1">
      <c r="A26" s="85"/>
      <c r="B26" s="82"/>
      <c r="C26" s="304"/>
      <c r="D26" s="86">
        <f>D24/21</f>
        <v>69729</v>
      </c>
      <c r="E26" s="296"/>
      <c r="F26" s="296"/>
    </row>
    <row r="27" spans="1:6" hidden="1">
      <c r="C27" s="305" t="s">
        <v>86</v>
      </c>
      <c r="D27" s="87"/>
      <c r="E27" s="296"/>
      <c r="F27" s="296"/>
    </row>
    <row r="28" spans="1:6" hidden="1">
      <c r="C28" s="88"/>
      <c r="D28" s="87"/>
      <c r="E28" s="296"/>
      <c r="F28" s="296"/>
    </row>
    <row r="29" spans="1:6" ht="18" hidden="1" customHeight="1">
      <c r="C29" s="305" t="s">
        <v>87</v>
      </c>
      <c r="D29" s="73">
        <f>(624000*30.2%)+((D24-(624000*30.2%))*10.2%)</f>
        <v>318585</v>
      </c>
      <c r="E29" s="296"/>
      <c r="F29" s="296"/>
    </row>
    <row r="30" spans="1:6" ht="18" hidden="1" customHeight="1">
      <c r="D30" s="73">
        <f>(678000*30.2%)+((D24-(678000*30.2%))*10.2%)</f>
        <v>333230</v>
      </c>
      <c r="E30" s="296"/>
      <c r="F30" s="296"/>
    </row>
    <row r="31" spans="1:6" ht="18" hidden="1" customHeight="1">
      <c r="D31" s="73">
        <f>(740000*30.2%)+((D24-(740000*30.2%))*10.2%)</f>
        <v>350044</v>
      </c>
      <c r="E31" s="296"/>
      <c r="F31" s="296"/>
    </row>
    <row r="32" spans="1:6" hidden="1">
      <c r="D32" s="87"/>
      <c r="E32" s="296"/>
      <c r="F32" s="296"/>
    </row>
    <row r="33" spans="3:6" hidden="1">
      <c r="D33" s="87"/>
      <c r="E33" s="296"/>
      <c r="F33" s="296"/>
    </row>
    <row r="34" spans="3:6" ht="21.6" customHeight="1">
      <c r="C34" s="168"/>
      <c r="D34" s="309"/>
      <c r="E34" s="296"/>
      <c r="F34" s="296"/>
    </row>
    <row r="35" spans="3:6" ht="15.75">
      <c r="C35" s="168"/>
      <c r="D35" s="169"/>
      <c r="E35" s="307"/>
      <c r="F35" s="296"/>
    </row>
  </sheetData>
  <mergeCells count="3">
    <mergeCell ref="A2:D2"/>
    <mergeCell ref="B3:D3"/>
    <mergeCell ref="A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I35"/>
  <sheetViews>
    <sheetView topLeftCell="A10" zoomScale="70" zoomScaleNormal="70" workbookViewId="0">
      <selection activeCell="G23" sqref="G23"/>
    </sheetView>
  </sheetViews>
  <sheetFormatPr defaultRowHeight="12.75"/>
  <cols>
    <col min="1" max="1" width="4.42578125" style="65" customWidth="1"/>
    <col min="2" max="2" width="49.28515625" style="66" customWidth="1"/>
    <col min="3" max="3" width="23.5703125" style="66" customWidth="1"/>
    <col min="4" max="4" width="17" style="66" customWidth="1"/>
    <col min="5" max="5" width="12" style="66" customWidth="1"/>
    <col min="6" max="16384" width="9.140625" style="66"/>
  </cols>
  <sheetData>
    <row r="1" spans="1:9" ht="15.75" customHeight="1">
      <c r="C1" s="67"/>
      <c r="D1" s="65"/>
    </row>
    <row r="2" spans="1:9" ht="112.5" customHeight="1">
      <c r="A2" s="249" t="s">
        <v>91</v>
      </c>
      <c r="B2" s="249"/>
      <c r="C2" s="249"/>
      <c r="D2" s="249"/>
    </row>
    <row r="3" spans="1:9" ht="48" customHeight="1">
      <c r="A3" s="74"/>
      <c r="B3" s="250" t="s">
        <v>63</v>
      </c>
      <c r="C3" s="250"/>
      <c r="D3" s="250"/>
      <c r="H3" s="173"/>
    </row>
    <row r="4" spans="1:9" s="70" customFormat="1" ht="26.25" customHeight="1">
      <c r="A4" s="69" t="s">
        <v>52</v>
      </c>
      <c r="B4" s="75" t="s">
        <v>53</v>
      </c>
      <c r="C4" s="76" t="s">
        <v>54</v>
      </c>
      <c r="D4" s="76"/>
    </row>
    <row r="5" spans="1:9" ht="106.5" customHeight="1">
      <c r="A5" s="77" t="s">
        <v>64</v>
      </c>
      <c r="B5" s="77"/>
      <c r="C5" s="77"/>
      <c r="D5" s="78" t="s">
        <v>5</v>
      </c>
    </row>
    <row r="6" spans="1:9" ht="45" customHeight="1">
      <c r="A6" s="77"/>
      <c r="B6" s="77"/>
      <c r="C6" s="77"/>
      <c r="D6" s="78" t="s">
        <v>65</v>
      </c>
    </row>
    <row r="7" spans="1:9" ht="54.75" customHeight="1">
      <c r="A7" s="79">
        <v>1</v>
      </c>
      <c r="B7" s="71" t="s">
        <v>199</v>
      </c>
      <c r="C7" s="124" t="s">
        <v>94</v>
      </c>
      <c r="D7" s="123">
        <f>'коэфф.кратности Русскинская'!N30</f>
        <v>13511</v>
      </c>
      <c r="I7" s="196"/>
    </row>
    <row r="8" spans="1:9" ht="18" customHeight="1">
      <c r="A8" s="79">
        <v>2</v>
      </c>
      <c r="B8" s="71" t="s">
        <v>67</v>
      </c>
      <c r="C8" s="71" t="s">
        <v>55</v>
      </c>
      <c r="D8" s="90">
        <f>D7*12</f>
        <v>162132</v>
      </c>
    </row>
    <row r="9" spans="1:9" ht="25.5">
      <c r="A9" s="79">
        <v>3</v>
      </c>
      <c r="B9" s="71" t="s">
        <v>68</v>
      </c>
      <c r="C9" s="71" t="s">
        <v>69</v>
      </c>
      <c r="D9" s="90">
        <f>D7*4</f>
        <v>54044</v>
      </c>
    </row>
    <row r="10" spans="1:9" ht="29.25" customHeight="1">
      <c r="A10" s="79">
        <v>4</v>
      </c>
      <c r="B10" s="71" t="s">
        <v>70</v>
      </c>
      <c r="C10" s="71" t="s">
        <v>71</v>
      </c>
      <c r="D10" s="90">
        <f>D7*3</f>
        <v>40533</v>
      </c>
    </row>
    <row r="11" spans="1:9" ht="43.5" customHeight="1">
      <c r="A11" s="79">
        <v>5</v>
      </c>
      <c r="B11" s="71" t="s">
        <v>184</v>
      </c>
      <c r="C11" s="71" t="s">
        <v>72</v>
      </c>
      <c r="D11" s="90">
        <f>D7*14</f>
        <v>189154</v>
      </c>
    </row>
    <row r="12" spans="1:9" ht="108.75" customHeight="1">
      <c r="A12" s="79">
        <v>6</v>
      </c>
      <c r="B12" s="71" t="s">
        <v>175</v>
      </c>
      <c r="C12" s="71" t="s">
        <v>176</v>
      </c>
      <c r="D12" s="191"/>
    </row>
    <row r="13" spans="1:9" ht="52.5" customHeight="1">
      <c r="A13" s="79">
        <v>7</v>
      </c>
      <c r="B13" s="71" t="s">
        <v>73</v>
      </c>
      <c r="C13" s="301" t="s">
        <v>74</v>
      </c>
      <c r="D13" s="170">
        <f>(D7+D9/12)*2</f>
        <v>36029</v>
      </c>
      <c r="E13" s="296"/>
      <c r="F13" s="296"/>
    </row>
    <row r="14" spans="1:9" ht="40.5" customHeight="1">
      <c r="A14" s="79">
        <v>8</v>
      </c>
      <c r="B14" s="71" t="s">
        <v>177</v>
      </c>
      <c r="C14" s="302" t="s">
        <v>90</v>
      </c>
      <c r="D14" s="90">
        <f>D7*35</f>
        <v>472885</v>
      </c>
      <c r="E14" s="297"/>
      <c r="F14" s="296"/>
    </row>
    <row r="15" spans="1:9" ht="39" customHeight="1">
      <c r="A15" s="79">
        <v>9</v>
      </c>
      <c r="B15" s="72" t="s">
        <v>56</v>
      </c>
      <c r="C15" s="301" t="s">
        <v>75</v>
      </c>
      <c r="D15" s="91">
        <f>D8+D9+D10+D11+D12+D13+D14</f>
        <v>954777</v>
      </c>
      <c r="E15" s="298"/>
      <c r="F15" s="296"/>
    </row>
    <row r="16" spans="1:9" ht="14.25" customHeight="1">
      <c r="A16" s="251" t="s">
        <v>57</v>
      </c>
      <c r="B16" s="252"/>
      <c r="C16" s="252"/>
      <c r="D16" s="306"/>
      <c r="E16" s="296"/>
      <c r="F16" s="296"/>
    </row>
    <row r="17" spans="1:6" ht="18.75" customHeight="1">
      <c r="A17" s="71">
        <v>10</v>
      </c>
      <c r="B17" s="71" t="s">
        <v>76</v>
      </c>
      <c r="C17" s="301" t="s">
        <v>77</v>
      </c>
      <c r="D17" s="90">
        <f>D15*0.7</f>
        <v>668344</v>
      </c>
      <c r="E17" s="299"/>
      <c r="F17" s="296"/>
    </row>
    <row r="18" spans="1:6" ht="35.25" customHeight="1">
      <c r="A18" s="71">
        <v>11</v>
      </c>
      <c r="B18" s="71" t="s">
        <v>58</v>
      </c>
      <c r="C18" s="301" t="s">
        <v>78</v>
      </c>
      <c r="D18" s="90">
        <f>D15*0.5</f>
        <v>477389</v>
      </c>
      <c r="E18" s="299"/>
      <c r="F18" s="296"/>
    </row>
    <row r="19" spans="1:6" ht="16.5" customHeight="1">
      <c r="A19" s="71">
        <v>12</v>
      </c>
      <c r="B19" s="72" t="s">
        <v>59</v>
      </c>
      <c r="C19" s="301" t="s">
        <v>79</v>
      </c>
      <c r="D19" s="91">
        <f>D15+D17+D18</f>
        <v>2100510</v>
      </c>
      <c r="E19" s="296"/>
      <c r="F19" s="296"/>
    </row>
    <row r="20" spans="1:6" ht="16.5" customHeight="1">
      <c r="A20" s="80">
        <v>13</v>
      </c>
      <c r="B20" s="81" t="s">
        <v>60</v>
      </c>
      <c r="C20" s="303" t="s">
        <v>80</v>
      </c>
      <c r="D20" s="120">
        <f>D19/12</f>
        <v>175043</v>
      </c>
      <c r="E20" s="300"/>
      <c r="F20" s="296"/>
    </row>
    <row r="21" spans="1:6" ht="35.25" customHeight="1">
      <c r="A21" s="71">
        <v>14</v>
      </c>
      <c r="B21" s="71" t="s">
        <v>179</v>
      </c>
      <c r="C21" s="301" t="s">
        <v>178</v>
      </c>
      <c r="D21" s="90">
        <f>D20*6</f>
        <v>1050258</v>
      </c>
      <c r="E21" s="296"/>
      <c r="F21" s="296"/>
    </row>
    <row r="22" spans="1:6" ht="56.25" customHeight="1">
      <c r="A22" s="71">
        <v>15</v>
      </c>
      <c r="B22" s="71" t="s">
        <v>180</v>
      </c>
      <c r="C22" s="301" t="s">
        <v>181</v>
      </c>
      <c r="D22" s="90">
        <f>D20*2</f>
        <v>350086</v>
      </c>
      <c r="E22" s="296"/>
      <c r="F22" s="296"/>
    </row>
    <row r="23" spans="1:6" ht="38.25" customHeight="1">
      <c r="A23" s="71">
        <v>16</v>
      </c>
      <c r="B23" s="71" t="s">
        <v>62</v>
      </c>
      <c r="C23" s="301" t="s">
        <v>82</v>
      </c>
      <c r="D23" s="90">
        <f>D20</f>
        <v>175043</v>
      </c>
      <c r="E23" s="296"/>
      <c r="F23" s="296"/>
    </row>
    <row r="24" spans="1:6" ht="18" customHeight="1">
      <c r="A24" s="71">
        <v>17</v>
      </c>
      <c r="B24" s="72" t="s">
        <v>83</v>
      </c>
      <c r="C24" s="301" t="s">
        <v>84</v>
      </c>
      <c r="D24" s="125">
        <f>D19+D21+D22+D23</f>
        <v>3675897</v>
      </c>
      <c r="E24" s="298"/>
      <c r="F24" s="296"/>
    </row>
    <row r="25" spans="1:6" ht="18" hidden="1" customHeight="1">
      <c r="A25" s="68"/>
      <c r="B25" s="82" t="s">
        <v>85</v>
      </c>
      <c r="C25" s="304"/>
      <c r="D25" s="84">
        <f>D24/12</f>
        <v>306325</v>
      </c>
      <c r="E25" s="296"/>
      <c r="F25" s="296"/>
    </row>
    <row r="26" spans="1:6" ht="18" hidden="1" customHeight="1">
      <c r="A26" s="85"/>
      <c r="B26" s="82"/>
      <c r="C26" s="304"/>
      <c r="D26" s="86">
        <f>D24/21</f>
        <v>175043</v>
      </c>
      <c r="E26" s="296"/>
      <c r="F26" s="296"/>
    </row>
    <row r="27" spans="1:6" hidden="1">
      <c r="C27" s="305" t="s">
        <v>86</v>
      </c>
      <c r="D27" s="87"/>
      <c r="E27" s="296"/>
      <c r="F27" s="296"/>
    </row>
    <row r="28" spans="1:6" hidden="1">
      <c r="C28" s="88"/>
      <c r="D28" s="87"/>
      <c r="E28" s="296"/>
      <c r="F28" s="296"/>
    </row>
    <row r="29" spans="1:6" ht="18" hidden="1" customHeight="1">
      <c r="C29" s="305" t="s">
        <v>87</v>
      </c>
      <c r="D29" s="73">
        <f>(624000*30.2%)+((D24-(624000*30.2%))*10.2%)</f>
        <v>544168</v>
      </c>
      <c r="E29" s="296"/>
      <c r="F29" s="296"/>
    </row>
    <row r="30" spans="1:6" ht="18" hidden="1" customHeight="1">
      <c r="D30" s="73">
        <f>(678000*30.2%)+((D24-(678000*30.2%))*10.2%)</f>
        <v>558812</v>
      </c>
      <c r="E30" s="296"/>
      <c r="F30" s="296"/>
    </row>
    <row r="31" spans="1:6" ht="18" hidden="1" customHeight="1">
      <c r="D31" s="73">
        <f>(740000*30.2%)+((D24-(740000*30.2%))*10.2%)</f>
        <v>575627</v>
      </c>
      <c r="E31" s="296"/>
      <c r="F31" s="296"/>
    </row>
    <row r="32" spans="1:6" hidden="1">
      <c r="D32" s="87"/>
      <c r="E32" s="296"/>
      <c r="F32" s="296"/>
    </row>
    <row r="33" spans="3:6" hidden="1">
      <c r="D33" s="87"/>
      <c r="E33" s="296"/>
      <c r="F33" s="296"/>
    </row>
    <row r="34" spans="3:6" ht="21.6" customHeight="1">
      <c r="C34" s="168" t="s">
        <v>200</v>
      </c>
      <c r="D34" s="167"/>
      <c r="E34" s="296"/>
      <c r="F34" s="296"/>
    </row>
    <row r="35" spans="3:6" ht="15.75">
      <c r="C35" s="168"/>
      <c r="D35" s="169"/>
      <c r="E35" s="248"/>
    </row>
  </sheetData>
  <mergeCells count="3">
    <mergeCell ref="A2:D2"/>
    <mergeCell ref="B3:D3"/>
    <mergeCell ref="A16:C1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Z106"/>
  <sheetViews>
    <sheetView topLeftCell="A76" workbookViewId="0">
      <selection activeCell="C1" sqref="C1"/>
    </sheetView>
  </sheetViews>
  <sheetFormatPr defaultRowHeight="12.75"/>
  <cols>
    <col min="3" max="3" width="33.28515625" customWidth="1"/>
    <col min="5" max="5" width="9.140625" hidden="1" customWidth="1"/>
    <col min="6" max="8" width="14.140625" customWidth="1"/>
    <col min="9" max="9" width="9.140625" style="239"/>
    <col min="10" max="12" width="0" hidden="1" customWidth="1"/>
    <col min="13" max="14" width="14.140625" style="155" customWidth="1"/>
    <col min="15" max="15" width="14.140625" style="180" hidden="1" customWidth="1"/>
    <col min="16" max="16" width="14.140625" style="180" customWidth="1"/>
    <col min="17" max="17" width="14.140625" style="198" hidden="1" customWidth="1"/>
    <col min="18" max="18" width="14.140625" style="198" customWidth="1"/>
    <col min="19" max="19" width="14.140625" style="146" customWidth="1"/>
  </cols>
  <sheetData>
    <row r="1" spans="2:26" ht="51.75" customHeight="1" thickBot="1">
      <c r="B1" s="153" t="s">
        <v>174</v>
      </c>
      <c r="C1" s="154">
        <v>1993</v>
      </c>
    </row>
    <row r="2" spans="2:26" ht="13.5" thickBot="1">
      <c r="B2" s="138"/>
      <c r="C2" s="138"/>
      <c r="D2" s="262" t="s">
        <v>163</v>
      </c>
      <c r="E2" s="263"/>
      <c r="F2" s="263"/>
      <c r="G2" s="263"/>
      <c r="H2" s="263"/>
      <c r="I2" s="263"/>
      <c r="J2" s="263"/>
      <c r="K2" s="263"/>
      <c r="L2" s="263"/>
      <c r="M2" s="264"/>
      <c r="N2" s="164"/>
      <c r="O2" s="181"/>
      <c r="P2" s="181"/>
      <c r="Q2" s="199"/>
      <c r="R2" s="199"/>
      <c r="S2" s="144"/>
      <c r="T2" s="265" t="s">
        <v>164</v>
      </c>
      <c r="U2" s="266"/>
      <c r="V2" s="266"/>
      <c r="W2" s="266"/>
      <c r="X2" s="266"/>
      <c r="Y2" s="266"/>
      <c r="Z2" s="267"/>
    </row>
    <row r="3" spans="2:26" ht="63" customHeight="1" thickBot="1">
      <c r="B3" s="139"/>
      <c r="C3" s="140"/>
      <c r="D3" s="140"/>
      <c r="E3" s="141" t="s">
        <v>162</v>
      </c>
      <c r="F3" s="141" t="s">
        <v>95</v>
      </c>
      <c r="G3" s="179" t="s">
        <v>193</v>
      </c>
      <c r="H3" s="197" t="s">
        <v>195</v>
      </c>
      <c r="I3" s="240" t="s">
        <v>201</v>
      </c>
      <c r="J3" s="141" t="s">
        <v>159</v>
      </c>
      <c r="K3" s="141" t="s">
        <v>160</v>
      </c>
      <c r="L3" s="150" t="s">
        <v>161</v>
      </c>
      <c r="M3" s="210" t="s">
        <v>172</v>
      </c>
      <c r="N3" s="156" t="s">
        <v>197</v>
      </c>
      <c r="O3" s="216" t="s">
        <v>194</v>
      </c>
      <c r="P3" s="216" t="s">
        <v>196</v>
      </c>
      <c r="Q3" s="220" t="s">
        <v>194</v>
      </c>
      <c r="R3" s="220" t="s">
        <v>198</v>
      </c>
      <c r="S3" s="143"/>
      <c r="T3" s="147" t="s">
        <v>165</v>
      </c>
      <c r="U3" s="141" t="s">
        <v>166</v>
      </c>
      <c r="V3" s="141" t="s">
        <v>167</v>
      </c>
      <c r="W3" s="141" t="s">
        <v>168</v>
      </c>
      <c r="X3" s="141" t="s">
        <v>169</v>
      </c>
      <c r="Y3" s="141" t="s">
        <v>170</v>
      </c>
      <c r="Z3" s="142" t="s">
        <v>171</v>
      </c>
    </row>
    <row r="4" spans="2:26" ht="31.5" customHeight="1" thickBot="1">
      <c r="B4" s="232">
        <v>1</v>
      </c>
      <c r="C4" s="233" t="s">
        <v>42</v>
      </c>
      <c r="D4" s="148"/>
      <c r="E4" s="225"/>
      <c r="F4" s="234">
        <v>1</v>
      </c>
      <c r="G4" s="235"/>
      <c r="H4" s="236"/>
      <c r="I4" s="241">
        <v>3.8944999999999999</v>
      </c>
      <c r="J4" s="236"/>
      <c r="K4" s="234"/>
      <c r="L4" s="235"/>
      <c r="M4" s="237">
        <f>$C$1*I4</f>
        <v>7761.74</v>
      </c>
      <c r="N4" s="238">
        <f>F4*M4</f>
        <v>7761.74</v>
      </c>
      <c r="O4" s="228"/>
      <c r="P4" s="189"/>
      <c r="Q4" s="230"/>
      <c r="R4" s="208"/>
      <c r="S4" s="143"/>
      <c r="T4" s="148">
        <v>6.3085000000000004</v>
      </c>
      <c r="U4" s="148">
        <v>6.3085000000000004</v>
      </c>
      <c r="V4" s="148">
        <v>4.9814999999999996</v>
      </c>
      <c r="W4" s="148">
        <v>4.9814999999999996</v>
      </c>
      <c r="X4" s="148">
        <v>3.82</v>
      </c>
      <c r="Y4" s="148">
        <v>3.82</v>
      </c>
      <c r="Z4" s="148">
        <v>2.8224999999999998</v>
      </c>
    </row>
    <row r="5" spans="2:26" ht="51.75" thickBot="1">
      <c r="B5" s="130">
        <v>2</v>
      </c>
      <c r="C5" s="223" t="s">
        <v>96</v>
      </c>
      <c r="D5" s="224"/>
      <c r="E5" s="149">
        <v>12.618</v>
      </c>
      <c r="F5" s="149"/>
      <c r="G5" s="149"/>
      <c r="H5" s="149"/>
      <c r="I5" s="242">
        <v>3.82</v>
      </c>
      <c r="J5" s="149">
        <v>11.288500000000001</v>
      </c>
      <c r="K5" s="149">
        <v>10.625999999999999</v>
      </c>
      <c r="L5" s="225">
        <v>9.9614999999999991</v>
      </c>
      <c r="M5" s="226"/>
      <c r="N5" s="227">
        <f>F5*M5</f>
        <v>0</v>
      </c>
      <c r="O5" s="228"/>
      <c r="P5" s="229"/>
      <c r="Q5" s="230"/>
      <c r="R5" s="231"/>
      <c r="S5" s="143"/>
      <c r="T5" s="134">
        <v>6.3085000000000004</v>
      </c>
      <c r="U5" s="131">
        <v>6.3085000000000004</v>
      </c>
      <c r="V5" s="131">
        <v>4.9814999999999996</v>
      </c>
      <c r="W5" s="131">
        <v>4.9814999999999996</v>
      </c>
      <c r="X5" s="131">
        <v>3.82</v>
      </c>
      <c r="Y5" s="131">
        <v>3.82</v>
      </c>
      <c r="Z5" s="131" t="s">
        <v>97</v>
      </c>
    </row>
    <row r="6" spans="2:26" ht="51.75" thickBot="1">
      <c r="B6" s="130">
        <v>3</v>
      </c>
      <c r="C6" s="222" t="s">
        <v>98</v>
      </c>
      <c r="D6" s="129"/>
      <c r="E6" s="131">
        <v>9.4634999999999998</v>
      </c>
      <c r="F6" s="131"/>
      <c r="G6" s="131"/>
      <c r="H6" s="131"/>
      <c r="I6" s="242">
        <v>2.8664999999999998</v>
      </c>
      <c r="J6" s="131">
        <v>8.4670000000000005</v>
      </c>
      <c r="K6" s="131">
        <v>7.9695</v>
      </c>
      <c r="L6" s="135">
        <v>7.4725000000000001</v>
      </c>
      <c r="M6" s="211"/>
      <c r="N6" s="162"/>
      <c r="O6" s="217"/>
      <c r="P6" s="182"/>
      <c r="Q6" s="221"/>
      <c r="R6" s="200"/>
      <c r="S6" s="143"/>
      <c r="T6" s="134">
        <v>4.7329999999999997</v>
      </c>
      <c r="U6" s="131">
        <v>4.7329999999999997</v>
      </c>
      <c r="V6" s="131">
        <v>3.7360000000000002</v>
      </c>
      <c r="W6" s="131">
        <v>3.7360000000000002</v>
      </c>
      <c r="X6" s="131">
        <v>2.8664999999999998</v>
      </c>
      <c r="Y6" s="131">
        <v>2.8664999999999998</v>
      </c>
      <c r="Z6" s="131" t="s">
        <v>97</v>
      </c>
    </row>
    <row r="7" spans="2:26" ht="39" thickBot="1">
      <c r="B7" s="130">
        <v>4</v>
      </c>
      <c r="C7" s="222" t="s">
        <v>99</v>
      </c>
      <c r="D7" s="129"/>
      <c r="E7" s="131">
        <v>6.3085000000000004</v>
      </c>
      <c r="F7" s="131"/>
      <c r="G7" s="131"/>
      <c r="H7" s="131"/>
      <c r="I7" s="242">
        <v>2.3144999999999998</v>
      </c>
      <c r="J7" s="131">
        <v>5.6449999999999996</v>
      </c>
      <c r="K7" s="131">
        <v>5.3150000000000004</v>
      </c>
      <c r="L7" s="135">
        <v>4.9809999999999999</v>
      </c>
      <c r="M7" s="211"/>
      <c r="N7" s="162"/>
      <c r="O7" s="217"/>
      <c r="P7" s="182"/>
      <c r="Q7" s="221"/>
      <c r="R7" s="200"/>
      <c r="S7" s="143"/>
      <c r="T7" s="134">
        <v>3.1549999999999998</v>
      </c>
      <c r="U7" s="131">
        <v>3.1549999999999998</v>
      </c>
      <c r="V7" s="131">
        <v>2.3144999999999998</v>
      </c>
      <c r="W7" s="131">
        <v>2.3144999999999998</v>
      </c>
      <c r="X7" s="131">
        <v>2.3144999999999998</v>
      </c>
      <c r="Y7" s="131">
        <v>2.3144999999999998</v>
      </c>
      <c r="Z7" s="131">
        <v>2.3144999999999998</v>
      </c>
    </row>
    <row r="8" spans="2:26" ht="39" thickBot="1">
      <c r="B8" s="130">
        <v>5</v>
      </c>
      <c r="C8" s="222" t="s">
        <v>100</v>
      </c>
      <c r="D8" s="129"/>
      <c r="E8" s="131">
        <v>6.3085000000000004</v>
      </c>
      <c r="F8" s="131"/>
      <c r="G8" s="131"/>
      <c r="H8" s="131"/>
      <c r="I8" s="242">
        <v>2.3144999999999998</v>
      </c>
      <c r="J8" s="131">
        <v>5.6449999999999996</v>
      </c>
      <c r="K8" s="131">
        <v>5.3150000000000004</v>
      </c>
      <c r="L8" s="135">
        <v>4.9809999999999999</v>
      </c>
      <c r="M8" s="211"/>
      <c r="N8" s="163"/>
      <c r="O8" s="217"/>
      <c r="P8" s="183"/>
      <c r="Q8" s="221"/>
      <c r="R8" s="201"/>
      <c r="S8" s="143"/>
      <c r="T8" s="134">
        <v>3.1549999999999998</v>
      </c>
      <c r="U8" s="131">
        <v>3.1549999999999998</v>
      </c>
      <c r="V8" s="131">
        <v>2.3144999999999998</v>
      </c>
      <c r="W8" s="131">
        <v>2.3144999999999998</v>
      </c>
      <c r="X8" s="131">
        <v>2.3144999999999998</v>
      </c>
      <c r="Y8" s="131">
        <v>2.3144999999999998</v>
      </c>
      <c r="Z8" s="131">
        <v>2.3144999999999998</v>
      </c>
    </row>
    <row r="9" spans="2:26" ht="13.5" thickBot="1">
      <c r="B9" s="268" t="s">
        <v>101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0"/>
      <c r="N9" s="270"/>
      <c r="O9" s="270"/>
      <c r="P9" s="270"/>
      <c r="Q9" s="270"/>
      <c r="R9" s="270"/>
      <c r="S9" s="271"/>
      <c r="T9" s="271"/>
      <c r="U9" s="271"/>
      <c r="V9" s="271"/>
      <c r="W9" s="271"/>
      <c r="X9" s="271"/>
      <c r="Y9" s="271"/>
      <c r="Z9" s="272"/>
    </row>
    <row r="10" spans="2:26" ht="13.5" thickBot="1">
      <c r="B10" s="273" t="s">
        <v>173</v>
      </c>
      <c r="C10" s="274"/>
      <c r="D10" s="275"/>
      <c r="E10" s="165"/>
      <c r="F10" s="165">
        <f>SUM(F11:F29)</f>
        <v>0</v>
      </c>
      <c r="G10" s="165"/>
      <c r="H10" s="165"/>
      <c r="I10" s="243"/>
      <c r="J10" s="165"/>
      <c r="K10" s="165"/>
      <c r="L10" s="165"/>
      <c r="M10" s="165"/>
      <c r="N10" s="166">
        <f>SUM(N11:N29)</f>
        <v>0</v>
      </c>
      <c r="O10" s="184"/>
      <c r="P10" s="185">
        <f>SUM(P11:P29)</f>
        <v>0</v>
      </c>
      <c r="Q10" s="202"/>
      <c r="R10" s="203">
        <f>SUM(R11:R29)</f>
        <v>0</v>
      </c>
      <c r="S10" s="152"/>
      <c r="T10" s="151"/>
      <c r="U10" s="151"/>
      <c r="V10" s="151"/>
      <c r="W10" s="151"/>
      <c r="X10" s="151"/>
      <c r="Y10" s="151"/>
      <c r="Z10" s="151"/>
    </row>
    <row r="11" spans="2:26" ht="39" thickBot="1">
      <c r="B11" s="130">
        <v>1</v>
      </c>
      <c r="C11" s="129" t="s">
        <v>102</v>
      </c>
      <c r="D11" s="129" t="s">
        <v>103</v>
      </c>
      <c r="E11" s="131">
        <v>4.4249999999999998</v>
      </c>
      <c r="F11" s="131"/>
      <c r="G11" s="131"/>
      <c r="H11" s="131"/>
      <c r="I11" s="244" t="s">
        <v>97</v>
      </c>
      <c r="J11" s="131">
        <v>3.968</v>
      </c>
      <c r="K11" s="131">
        <v>3.74</v>
      </c>
      <c r="L11" s="131">
        <v>3.5125000000000002</v>
      </c>
      <c r="M11" s="157"/>
      <c r="N11" s="162">
        <f>F11*M11</f>
        <v>0</v>
      </c>
      <c r="O11" s="186"/>
      <c r="P11" s="182"/>
      <c r="Q11" s="204"/>
      <c r="R11" s="200"/>
      <c r="S11" s="143"/>
      <c r="T11" s="148" t="s">
        <v>97</v>
      </c>
      <c r="U11" s="149" t="s">
        <v>97</v>
      </c>
      <c r="V11" s="149" t="s">
        <v>97</v>
      </c>
      <c r="W11" s="149" t="s">
        <v>97</v>
      </c>
      <c r="X11" s="149" t="s">
        <v>97</v>
      </c>
      <c r="Y11" s="149" t="s">
        <v>97</v>
      </c>
      <c r="Z11" s="149" t="s">
        <v>97</v>
      </c>
    </row>
    <row r="12" spans="2:26" ht="39" thickBot="1">
      <c r="B12" s="130">
        <v>2</v>
      </c>
      <c r="C12" s="129" t="s">
        <v>104</v>
      </c>
      <c r="D12" s="129" t="s">
        <v>103</v>
      </c>
      <c r="E12" s="131">
        <v>4.0824999999999996</v>
      </c>
      <c r="F12" s="131"/>
      <c r="G12" s="131"/>
      <c r="H12" s="131"/>
      <c r="I12" s="242" t="s">
        <v>97</v>
      </c>
      <c r="J12" s="131">
        <v>3.6265000000000001</v>
      </c>
      <c r="K12" s="131">
        <v>3.4605000000000001</v>
      </c>
      <c r="L12" s="131">
        <v>3.2845</v>
      </c>
      <c r="M12" s="157"/>
      <c r="N12" s="162">
        <f t="shared" ref="N12:N29" si="0">F12*M12</f>
        <v>0</v>
      </c>
      <c r="O12" s="186"/>
      <c r="P12" s="182"/>
      <c r="Q12" s="204"/>
      <c r="R12" s="200"/>
      <c r="S12" s="143"/>
      <c r="T12" s="134" t="s">
        <v>97</v>
      </c>
      <c r="U12" s="131" t="s">
        <v>97</v>
      </c>
      <c r="V12" s="131" t="s">
        <v>97</v>
      </c>
      <c r="W12" s="131" t="s">
        <v>97</v>
      </c>
      <c r="X12" s="131" t="s">
        <v>97</v>
      </c>
      <c r="Y12" s="131" t="s">
        <v>97</v>
      </c>
      <c r="Z12" s="131" t="s">
        <v>97</v>
      </c>
    </row>
    <row r="13" spans="2:26" ht="39" thickBot="1">
      <c r="B13" s="130">
        <v>3</v>
      </c>
      <c r="C13" s="129" t="s">
        <v>105</v>
      </c>
      <c r="D13" s="129" t="s">
        <v>106</v>
      </c>
      <c r="E13" s="131">
        <v>3.57</v>
      </c>
      <c r="F13" s="131"/>
      <c r="G13" s="131"/>
      <c r="H13" s="131"/>
      <c r="I13" s="242" t="s">
        <v>97</v>
      </c>
      <c r="J13" s="131">
        <v>3.2155</v>
      </c>
      <c r="K13" s="131">
        <v>3.0074999999999998</v>
      </c>
      <c r="L13" s="131">
        <v>2.8475000000000001</v>
      </c>
      <c r="M13" s="157"/>
      <c r="N13" s="162">
        <f t="shared" si="0"/>
        <v>0</v>
      </c>
      <c r="O13" s="186"/>
      <c r="P13" s="182"/>
      <c r="Q13" s="204"/>
      <c r="R13" s="200"/>
      <c r="S13" s="143"/>
      <c r="T13" s="134" t="s">
        <v>97</v>
      </c>
      <c r="U13" s="131" t="s">
        <v>97</v>
      </c>
      <c r="V13" s="131" t="s">
        <v>97</v>
      </c>
      <c r="W13" s="131" t="s">
        <v>97</v>
      </c>
      <c r="X13" s="131" t="s">
        <v>97</v>
      </c>
      <c r="Y13" s="131" t="s">
        <v>97</v>
      </c>
      <c r="Z13" s="131" t="s">
        <v>97</v>
      </c>
    </row>
    <row r="14" spans="2:26" ht="39" thickBot="1">
      <c r="B14" s="130">
        <v>4</v>
      </c>
      <c r="C14" s="129" t="s">
        <v>107</v>
      </c>
      <c r="D14" s="129" t="s">
        <v>106</v>
      </c>
      <c r="E14" s="131">
        <v>3.57</v>
      </c>
      <c r="F14" s="131"/>
      <c r="G14" s="131"/>
      <c r="H14" s="131"/>
      <c r="I14" s="242" t="s">
        <v>97</v>
      </c>
      <c r="J14" s="131">
        <v>3.2155</v>
      </c>
      <c r="K14" s="131">
        <v>3.0074999999999998</v>
      </c>
      <c r="L14" s="131">
        <v>2.8475000000000001</v>
      </c>
      <c r="M14" s="157"/>
      <c r="N14" s="162">
        <f>F14*M14</f>
        <v>0</v>
      </c>
      <c r="O14" s="186"/>
      <c r="P14" s="182"/>
      <c r="Q14" s="204"/>
      <c r="R14" s="200"/>
      <c r="S14" s="143"/>
      <c r="T14" s="134" t="s">
        <v>97</v>
      </c>
      <c r="U14" s="131" t="s">
        <v>97</v>
      </c>
      <c r="V14" s="131" t="s">
        <v>97</v>
      </c>
      <c r="W14" s="131" t="s">
        <v>97</v>
      </c>
      <c r="X14" s="131" t="s">
        <v>97</v>
      </c>
      <c r="Y14" s="131" t="s">
        <v>97</v>
      </c>
      <c r="Z14" s="131" t="s">
        <v>97</v>
      </c>
    </row>
    <row r="15" spans="2:26" ht="51.75" thickBot="1">
      <c r="B15" s="130">
        <v>5</v>
      </c>
      <c r="C15" s="129" t="s">
        <v>108</v>
      </c>
      <c r="D15" s="129" t="s">
        <v>109</v>
      </c>
      <c r="E15" s="131">
        <v>3.9359999999999999</v>
      </c>
      <c r="F15" s="131"/>
      <c r="G15" s="131"/>
      <c r="H15" s="131"/>
      <c r="I15" s="242" t="s">
        <v>97</v>
      </c>
      <c r="J15" s="131">
        <v>3.5234999999999999</v>
      </c>
      <c r="K15" s="131">
        <v>3.3254999999999999</v>
      </c>
      <c r="L15" s="131">
        <v>3.11</v>
      </c>
      <c r="M15" s="157"/>
      <c r="N15" s="162">
        <f t="shared" si="0"/>
        <v>0</v>
      </c>
      <c r="O15" s="186"/>
      <c r="P15" s="182"/>
      <c r="Q15" s="204"/>
      <c r="R15" s="200"/>
      <c r="S15" s="143"/>
      <c r="T15" s="134">
        <v>2.0219999999999998</v>
      </c>
      <c r="U15" s="131">
        <v>2.0219999999999998</v>
      </c>
      <c r="V15" s="131">
        <v>1.9135</v>
      </c>
      <c r="W15" s="131">
        <v>1.9135</v>
      </c>
      <c r="X15" s="131" t="s">
        <v>97</v>
      </c>
      <c r="Y15" s="131" t="s">
        <v>97</v>
      </c>
      <c r="Z15" s="131" t="s">
        <v>97</v>
      </c>
    </row>
    <row r="16" spans="2:26" ht="51.75" thickBot="1">
      <c r="B16" s="130">
        <v>6</v>
      </c>
      <c r="C16" s="129" t="s">
        <v>110</v>
      </c>
      <c r="D16" s="129" t="s">
        <v>109</v>
      </c>
      <c r="E16" s="131">
        <v>3.9089999999999998</v>
      </c>
      <c r="F16" s="131"/>
      <c r="G16" s="131"/>
      <c r="H16" s="131"/>
      <c r="I16" s="242" t="s">
        <v>97</v>
      </c>
      <c r="J16" s="131">
        <v>3.5049999999999999</v>
      </c>
      <c r="K16" s="131">
        <v>3.3165</v>
      </c>
      <c r="L16" s="131">
        <v>3.11</v>
      </c>
      <c r="M16" s="157"/>
      <c r="N16" s="162">
        <f t="shared" si="0"/>
        <v>0</v>
      </c>
      <c r="O16" s="186"/>
      <c r="P16" s="182"/>
      <c r="Q16" s="204"/>
      <c r="R16" s="200"/>
      <c r="S16" s="143"/>
      <c r="T16" s="134">
        <v>1.806</v>
      </c>
      <c r="U16" s="131">
        <v>1.806</v>
      </c>
      <c r="V16" s="131">
        <v>1.7569999999999999</v>
      </c>
      <c r="W16" s="131">
        <v>1.7569999999999999</v>
      </c>
      <c r="X16" s="131" t="s">
        <v>97</v>
      </c>
      <c r="Y16" s="131" t="s">
        <v>97</v>
      </c>
      <c r="Z16" s="131" t="s">
        <v>97</v>
      </c>
    </row>
    <row r="17" spans="2:26" ht="39" thickBot="1">
      <c r="B17" s="130">
        <v>7</v>
      </c>
      <c r="C17" s="129" t="s">
        <v>111</v>
      </c>
      <c r="D17" s="129" t="s">
        <v>112</v>
      </c>
      <c r="E17" s="131">
        <v>3.1</v>
      </c>
      <c r="F17" s="131"/>
      <c r="G17" s="131"/>
      <c r="H17" s="131"/>
      <c r="I17" s="242" t="s">
        <v>97</v>
      </c>
      <c r="J17" s="131">
        <v>2.802</v>
      </c>
      <c r="K17" s="131">
        <v>2.6150000000000002</v>
      </c>
      <c r="L17" s="131">
        <v>2.4704999999999999</v>
      </c>
      <c r="M17" s="157"/>
      <c r="N17" s="162">
        <f t="shared" si="0"/>
        <v>0</v>
      </c>
      <c r="O17" s="186"/>
      <c r="P17" s="182"/>
      <c r="Q17" s="204"/>
      <c r="R17" s="200"/>
      <c r="S17" s="143"/>
      <c r="T17" s="134">
        <v>1.9515</v>
      </c>
      <c r="U17" s="131">
        <v>1.9515</v>
      </c>
      <c r="V17" s="131">
        <v>1.849</v>
      </c>
      <c r="W17" s="131">
        <v>1.6910000000000001</v>
      </c>
      <c r="X17" s="131" t="s">
        <v>97</v>
      </c>
      <c r="Y17" s="131" t="s">
        <v>97</v>
      </c>
      <c r="Z17" s="131" t="s">
        <v>97</v>
      </c>
    </row>
    <row r="18" spans="2:26" ht="39" thickBot="1">
      <c r="B18" s="130">
        <v>8</v>
      </c>
      <c r="C18" s="129" t="s">
        <v>113</v>
      </c>
      <c r="D18" s="129" t="s">
        <v>112</v>
      </c>
      <c r="E18" s="131">
        <v>2.5640000000000001</v>
      </c>
      <c r="F18" s="131"/>
      <c r="G18" s="131"/>
      <c r="H18" s="131"/>
      <c r="I18" s="242" t="s">
        <v>97</v>
      </c>
      <c r="J18" s="131">
        <v>2.3765000000000001</v>
      </c>
      <c r="K18" s="131">
        <v>2.2829999999999999</v>
      </c>
      <c r="L18" s="131">
        <v>2.0019999999999998</v>
      </c>
      <c r="M18" s="157"/>
      <c r="N18" s="162">
        <f t="shared" si="0"/>
        <v>0</v>
      </c>
      <c r="O18" s="186"/>
      <c r="P18" s="182"/>
      <c r="Q18" s="204"/>
      <c r="R18" s="200"/>
      <c r="S18" s="143"/>
      <c r="T18" s="134" t="s">
        <v>97</v>
      </c>
      <c r="U18" s="131" t="s">
        <v>97</v>
      </c>
      <c r="V18" s="131" t="s">
        <v>97</v>
      </c>
      <c r="W18" s="131" t="s">
        <v>97</v>
      </c>
      <c r="X18" s="131" t="s">
        <v>97</v>
      </c>
      <c r="Y18" s="131" t="s">
        <v>97</v>
      </c>
      <c r="Z18" s="131" t="s">
        <v>97</v>
      </c>
    </row>
    <row r="19" spans="2:26" ht="39" thickBot="1">
      <c r="B19" s="130">
        <v>9</v>
      </c>
      <c r="C19" s="129" t="s">
        <v>114</v>
      </c>
      <c r="D19" s="129" t="s">
        <v>115</v>
      </c>
      <c r="E19" s="131">
        <v>2.4704999999999999</v>
      </c>
      <c r="F19" s="131"/>
      <c r="G19" s="131"/>
      <c r="H19" s="131"/>
      <c r="I19" s="242" t="s">
        <v>97</v>
      </c>
      <c r="J19" s="131">
        <v>2.1894999999999998</v>
      </c>
      <c r="K19" s="131">
        <v>2.0954999999999999</v>
      </c>
      <c r="L19" s="131">
        <v>1.96</v>
      </c>
      <c r="M19" s="157"/>
      <c r="N19" s="162">
        <f t="shared" si="0"/>
        <v>0</v>
      </c>
      <c r="O19" s="186"/>
      <c r="P19" s="182"/>
      <c r="Q19" s="204"/>
      <c r="R19" s="200"/>
      <c r="S19" s="143"/>
      <c r="T19" s="134">
        <v>1.4864999999999999</v>
      </c>
      <c r="U19" s="131">
        <v>1.4864999999999999</v>
      </c>
      <c r="V19" s="131" t="s">
        <v>97</v>
      </c>
      <c r="W19" s="131" t="s">
        <v>97</v>
      </c>
      <c r="X19" s="131" t="s">
        <v>97</v>
      </c>
      <c r="Y19" s="131" t="s">
        <v>97</v>
      </c>
      <c r="Z19" s="131" t="s">
        <v>97</v>
      </c>
    </row>
    <row r="20" spans="2:26" ht="39" thickBot="1">
      <c r="B20" s="130">
        <v>10</v>
      </c>
      <c r="C20" s="129" t="s">
        <v>116</v>
      </c>
      <c r="D20" s="129" t="s">
        <v>115</v>
      </c>
      <c r="E20" s="131">
        <v>2.4704999999999999</v>
      </c>
      <c r="F20" s="131"/>
      <c r="G20" s="131"/>
      <c r="H20" s="131"/>
      <c r="I20" s="242" t="s">
        <v>97</v>
      </c>
      <c r="J20" s="131">
        <v>2.1894999999999998</v>
      </c>
      <c r="K20" s="131">
        <v>2.0954999999999999</v>
      </c>
      <c r="L20" s="131">
        <v>1.96</v>
      </c>
      <c r="M20" s="157"/>
      <c r="N20" s="162">
        <f t="shared" si="0"/>
        <v>0</v>
      </c>
      <c r="O20" s="186"/>
      <c r="P20" s="182"/>
      <c r="Q20" s="204"/>
      <c r="R20" s="200"/>
      <c r="S20" s="143"/>
      <c r="T20" s="134">
        <v>1.4319999999999999</v>
      </c>
      <c r="U20" s="131">
        <v>1.4319999999999999</v>
      </c>
      <c r="V20" s="131" t="s">
        <v>97</v>
      </c>
      <c r="W20" s="131" t="s">
        <v>97</v>
      </c>
      <c r="X20" s="131" t="s">
        <v>97</v>
      </c>
      <c r="Y20" s="131" t="s">
        <v>97</v>
      </c>
      <c r="Z20" s="131" t="s">
        <v>97</v>
      </c>
    </row>
    <row r="21" spans="2:26" ht="64.5" thickBot="1">
      <c r="B21" s="130">
        <v>11</v>
      </c>
      <c r="C21" s="129" t="s">
        <v>114</v>
      </c>
      <c r="D21" s="129" t="s">
        <v>117</v>
      </c>
      <c r="E21" s="131">
        <v>2.3765000000000001</v>
      </c>
      <c r="F21" s="131"/>
      <c r="G21" s="131"/>
      <c r="H21" s="131"/>
      <c r="I21" s="242" t="s">
        <v>97</v>
      </c>
      <c r="J21" s="131">
        <v>2.1469999999999998</v>
      </c>
      <c r="K21" s="131">
        <v>2.0529999999999999</v>
      </c>
      <c r="L21" s="131">
        <v>1.9079999999999999</v>
      </c>
      <c r="M21" s="157"/>
      <c r="N21" s="162">
        <f t="shared" si="0"/>
        <v>0</v>
      </c>
      <c r="O21" s="186"/>
      <c r="P21" s="182"/>
      <c r="Q21" s="204"/>
      <c r="R21" s="200"/>
      <c r="S21" s="143"/>
      <c r="T21" s="134" t="s">
        <v>97</v>
      </c>
      <c r="U21" s="131" t="s">
        <v>97</v>
      </c>
      <c r="V21" s="131" t="s">
        <v>97</v>
      </c>
      <c r="W21" s="131" t="s">
        <v>97</v>
      </c>
      <c r="X21" s="131" t="s">
        <v>97</v>
      </c>
      <c r="Y21" s="131" t="s">
        <v>97</v>
      </c>
      <c r="Z21" s="131" t="s">
        <v>97</v>
      </c>
    </row>
    <row r="22" spans="2:26" ht="64.5" thickBot="1">
      <c r="B22" s="130">
        <v>12</v>
      </c>
      <c r="C22" s="129" t="s">
        <v>116</v>
      </c>
      <c r="D22" s="129" t="s">
        <v>117</v>
      </c>
      <c r="E22" s="131">
        <v>2.3765000000000001</v>
      </c>
      <c r="F22" s="131"/>
      <c r="G22" s="131"/>
      <c r="H22" s="131"/>
      <c r="I22" s="242" t="s">
        <v>97</v>
      </c>
      <c r="J22" s="131">
        <v>2.1469999999999998</v>
      </c>
      <c r="K22" s="131">
        <v>2.0529999999999999</v>
      </c>
      <c r="L22" s="131">
        <v>1.9079999999999999</v>
      </c>
      <c r="M22" s="157"/>
      <c r="N22" s="162">
        <f t="shared" si="0"/>
        <v>0</v>
      </c>
      <c r="O22" s="186"/>
      <c r="P22" s="182"/>
      <c r="Q22" s="204"/>
      <c r="R22" s="200"/>
      <c r="S22" s="143"/>
      <c r="T22" s="134" t="s">
        <v>97</v>
      </c>
      <c r="U22" s="131" t="s">
        <v>97</v>
      </c>
      <c r="V22" s="131" t="s">
        <v>97</v>
      </c>
      <c r="W22" s="131" t="s">
        <v>97</v>
      </c>
      <c r="X22" s="131" t="s">
        <v>97</v>
      </c>
      <c r="Y22" s="131" t="s">
        <v>97</v>
      </c>
      <c r="Z22" s="131" t="s">
        <v>97</v>
      </c>
    </row>
    <row r="23" spans="2:26" ht="39" thickBot="1">
      <c r="B23" s="130">
        <v>13</v>
      </c>
      <c r="C23" s="129" t="s">
        <v>2</v>
      </c>
      <c r="D23" s="129" t="s">
        <v>118</v>
      </c>
      <c r="E23" s="131">
        <v>2.0979999999999999</v>
      </c>
      <c r="F23" s="131"/>
      <c r="G23" s="131"/>
      <c r="H23" s="131"/>
      <c r="I23" s="242">
        <v>1.1775</v>
      </c>
      <c r="J23" s="131">
        <v>1.885</v>
      </c>
      <c r="K23" s="131">
        <v>1.798</v>
      </c>
      <c r="L23" s="131">
        <v>1.6635</v>
      </c>
      <c r="M23" s="157">
        <f t="shared" ref="M23:M29" si="1">$C$1*I23</f>
        <v>2346.7600000000002</v>
      </c>
      <c r="N23" s="162">
        <f>F23*M23</f>
        <v>0</v>
      </c>
      <c r="O23" s="186"/>
      <c r="P23" s="182"/>
      <c r="Q23" s="204"/>
      <c r="R23" s="200"/>
      <c r="S23" s="143"/>
      <c r="T23" s="134">
        <v>1.2575000000000001</v>
      </c>
      <c r="U23" s="131">
        <v>1.2575000000000001</v>
      </c>
      <c r="V23" s="131">
        <v>1.214</v>
      </c>
      <c r="W23" s="131">
        <v>1.1775</v>
      </c>
      <c r="X23" s="131">
        <v>1.1775</v>
      </c>
      <c r="Y23" s="131">
        <v>1.1775</v>
      </c>
      <c r="Z23" s="131">
        <v>1.1775</v>
      </c>
    </row>
    <row r="24" spans="2:26" ht="39" thickBot="1">
      <c r="B24" s="130">
        <v>14</v>
      </c>
      <c r="C24" s="129" t="s">
        <v>3</v>
      </c>
      <c r="D24" s="129" t="s">
        <v>118</v>
      </c>
      <c r="E24" s="131">
        <v>1.837</v>
      </c>
      <c r="F24" s="131"/>
      <c r="G24" s="131"/>
      <c r="H24" s="131"/>
      <c r="I24" s="242">
        <v>1.163</v>
      </c>
      <c r="J24" s="131">
        <v>1.6635</v>
      </c>
      <c r="K24" s="131">
        <v>1.5760000000000001</v>
      </c>
      <c r="L24" s="131">
        <v>1.49</v>
      </c>
      <c r="M24" s="157">
        <f t="shared" si="1"/>
        <v>2317.86</v>
      </c>
      <c r="N24" s="162">
        <f>F24*M24</f>
        <v>0</v>
      </c>
      <c r="O24" s="186"/>
      <c r="P24" s="182"/>
      <c r="Q24" s="204"/>
      <c r="R24" s="200"/>
      <c r="S24" s="143"/>
      <c r="T24" s="134">
        <v>1.163</v>
      </c>
      <c r="U24" s="131">
        <v>1.163</v>
      </c>
      <c r="V24" s="131">
        <v>1.163</v>
      </c>
      <c r="W24" s="131">
        <v>1.163</v>
      </c>
      <c r="X24" s="131">
        <v>1.163</v>
      </c>
      <c r="Y24" s="131">
        <v>1.163</v>
      </c>
      <c r="Z24" s="131">
        <v>1.163</v>
      </c>
    </row>
    <row r="25" spans="2:26" ht="64.5" thickBot="1">
      <c r="B25" s="130">
        <v>15</v>
      </c>
      <c r="C25" s="129" t="s">
        <v>2</v>
      </c>
      <c r="D25" s="129" t="s">
        <v>119</v>
      </c>
      <c r="E25" s="131">
        <v>2.0110000000000001</v>
      </c>
      <c r="F25" s="131"/>
      <c r="G25" s="131"/>
      <c r="H25" s="131"/>
      <c r="I25" s="242">
        <v>1.1545000000000001</v>
      </c>
      <c r="J25" s="131">
        <v>1.837</v>
      </c>
      <c r="K25" s="131">
        <v>1.7110000000000001</v>
      </c>
      <c r="L25" s="131">
        <v>1.5760000000000001</v>
      </c>
      <c r="M25" s="157">
        <f t="shared" si="1"/>
        <v>2300.92</v>
      </c>
      <c r="N25" s="162">
        <f t="shared" si="0"/>
        <v>0</v>
      </c>
      <c r="O25" s="186"/>
      <c r="P25" s="182"/>
      <c r="Q25" s="204"/>
      <c r="R25" s="200"/>
      <c r="S25" s="143"/>
      <c r="T25" s="134">
        <v>1.1545000000000001</v>
      </c>
      <c r="U25" s="131">
        <v>1.1545000000000001</v>
      </c>
      <c r="V25" s="131">
        <v>1.1545000000000001</v>
      </c>
      <c r="W25" s="131">
        <v>1.1545000000000001</v>
      </c>
      <c r="X25" s="131">
        <v>1.1545000000000001</v>
      </c>
      <c r="Y25" s="131">
        <v>1.1545000000000001</v>
      </c>
      <c r="Z25" s="131">
        <v>1.1545000000000001</v>
      </c>
    </row>
    <row r="26" spans="2:26" ht="64.5" thickBot="1">
      <c r="B26" s="130">
        <v>16</v>
      </c>
      <c r="C26" s="129" t="s">
        <v>3</v>
      </c>
      <c r="D26" s="129" t="s">
        <v>119</v>
      </c>
      <c r="E26" s="131">
        <v>1.798</v>
      </c>
      <c r="F26" s="131"/>
      <c r="G26" s="131"/>
      <c r="H26" s="131"/>
      <c r="I26" s="242">
        <v>1.1485000000000001</v>
      </c>
      <c r="J26" s="131">
        <v>1.6234999999999999</v>
      </c>
      <c r="K26" s="131">
        <v>1.5375000000000001</v>
      </c>
      <c r="L26" s="131">
        <v>1.4504999999999999</v>
      </c>
      <c r="M26" s="157">
        <f t="shared" si="1"/>
        <v>2288.96</v>
      </c>
      <c r="N26" s="162">
        <f t="shared" si="0"/>
        <v>0</v>
      </c>
      <c r="O26" s="186"/>
      <c r="P26" s="182"/>
      <c r="Q26" s="204"/>
      <c r="R26" s="200"/>
      <c r="S26" s="143"/>
      <c r="T26" s="134">
        <v>1.1485000000000001</v>
      </c>
      <c r="U26" s="131">
        <v>1.1485000000000001</v>
      </c>
      <c r="V26" s="131">
        <v>1.1485000000000001</v>
      </c>
      <c r="W26" s="131">
        <v>1.1485000000000001</v>
      </c>
      <c r="X26" s="131">
        <v>1.1485000000000001</v>
      </c>
      <c r="Y26" s="131">
        <v>1.1485000000000001</v>
      </c>
      <c r="Z26" s="131">
        <v>1.1485000000000001</v>
      </c>
    </row>
    <row r="27" spans="2:26" ht="64.5" thickBot="1">
      <c r="B27" s="130">
        <v>17</v>
      </c>
      <c r="C27" s="129" t="s">
        <v>4</v>
      </c>
      <c r="D27" s="129" t="s">
        <v>120</v>
      </c>
      <c r="E27" s="131">
        <v>1.5115000000000001</v>
      </c>
      <c r="F27" s="131"/>
      <c r="G27" s="131"/>
      <c r="H27" s="131"/>
      <c r="I27" s="242">
        <v>1.0349999999999999</v>
      </c>
      <c r="J27" s="131">
        <v>1.385</v>
      </c>
      <c r="K27" s="131">
        <v>1.3025</v>
      </c>
      <c r="L27" s="131">
        <v>1.2645</v>
      </c>
      <c r="M27" s="157">
        <f t="shared" si="1"/>
        <v>2062.7600000000002</v>
      </c>
      <c r="N27" s="162">
        <f t="shared" si="0"/>
        <v>0</v>
      </c>
      <c r="O27" s="186"/>
      <c r="P27" s="182"/>
      <c r="Q27" s="204"/>
      <c r="R27" s="200"/>
      <c r="S27" s="143"/>
      <c r="T27" s="134">
        <v>1.0349999999999999</v>
      </c>
      <c r="U27" s="131">
        <v>1.0349999999999999</v>
      </c>
      <c r="V27" s="131">
        <v>1.0349999999999999</v>
      </c>
      <c r="W27" s="131">
        <v>1.0349999999999999</v>
      </c>
      <c r="X27" s="131">
        <v>1.0349999999999999</v>
      </c>
      <c r="Y27" s="131">
        <v>1.0349999999999999</v>
      </c>
      <c r="Z27" s="131">
        <v>1.0349999999999999</v>
      </c>
    </row>
    <row r="28" spans="2:26" ht="64.5" thickBot="1">
      <c r="B28" s="130">
        <v>18</v>
      </c>
      <c r="C28" s="129" t="s">
        <v>6</v>
      </c>
      <c r="D28" s="129" t="s">
        <v>120</v>
      </c>
      <c r="E28" s="131">
        <v>1.2725</v>
      </c>
      <c r="F28" s="131"/>
      <c r="G28" s="131"/>
      <c r="H28" s="131"/>
      <c r="I28" s="242">
        <v>1.0209999999999999</v>
      </c>
      <c r="J28" s="131">
        <v>1.1599999999999999</v>
      </c>
      <c r="K28" s="131">
        <v>1.115</v>
      </c>
      <c r="L28" s="131">
        <v>1.115</v>
      </c>
      <c r="M28" s="157">
        <f t="shared" si="1"/>
        <v>2034.85</v>
      </c>
      <c r="N28" s="162">
        <f t="shared" si="0"/>
        <v>0</v>
      </c>
      <c r="O28" s="186"/>
      <c r="P28" s="182"/>
      <c r="Q28" s="204"/>
      <c r="R28" s="200"/>
      <c r="S28" s="143"/>
      <c r="T28" s="134">
        <v>1.0209999999999999</v>
      </c>
      <c r="U28" s="131">
        <v>1.0209999999999999</v>
      </c>
      <c r="V28" s="131">
        <v>1.0209999999999999</v>
      </c>
      <c r="W28" s="131">
        <v>1.0209999999999999</v>
      </c>
      <c r="X28" s="131">
        <v>1.0209999999999999</v>
      </c>
      <c r="Y28" s="131">
        <v>1.0209999999999999</v>
      </c>
      <c r="Z28" s="131">
        <v>1.0209999999999999</v>
      </c>
    </row>
    <row r="29" spans="2:26" ht="64.5" thickBot="1">
      <c r="B29" s="126">
        <v>19</v>
      </c>
      <c r="C29" s="127" t="s">
        <v>5</v>
      </c>
      <c r="D29" s="127" t="s">
        <v>120</v>
      </c>
      <c r="E29" s="128">
        <v>1.115</v>
      </c>
      <c r="F29" s="128"/>
      <c r="G29" s="128"/>
      <c r="H29" s="128"/>
      <c r="I29" s="242">
        <v>1</v>
      </c>
      <c r="J29" s="128">
        <v>1.115</v>
      </c>
      <c r="K29" s="128">
        <v>1.115</v>
      </c>
      <c r="L29" s="128">
        <v>1.115</v>
      </c>
      <c r="M29" s="213">
        <f t="shared" si="1"/>
        <v>1993</v>
      </c>
      <c r="N29" s="212">
        <f t="shared" si="0"/>
        <v>0</v>
      </c>
      <c r="O29" s="219"/>
      <c r="P29" s="218"/>
      <c r="Q29" s="215"/>
      <c r="R29" s="214"/>
      <c r="S29" s="143"/>
      <c r="T29" s="134">
        <v>1</v>
      </c>
      <c r="U29" s="131">
        <v>1</v>
      </c>
      <c r="V29" s="131">
        <v>1</v>
      </c>
      <c r="W29" s="131">
        <v>1</v>
      </c>
      <c r="X29" s="131">
        <v>1</v>
      </c>
      <c r="Y29" s="131">
        <v>1</v>
      </c>
      <c r="Z29" s="131">
        <v>1</v>
      </c>
    </row>
    <row r="30" spans="2:26" ht="16.5" thickBot="1">
      <c r="B30" s="276" t="s">
        <v>202</v>
      </c>
      <c r="C30" s="277"/>
      <c r="D30" s="277"/>
      <c r="E30" s="192"/>
      <c r="F30" s="193">
        <f>F32+F39</f>
        <v>5</v>
      </c>
      <c r="G30" s="193">
        <f>G32+G39</f>
        <v>0</v>
      </c>
      <c r="H30" s="193"/>
      <c r="I30" s="245"/>
      <c r="J30" s="194"/>
      <c r="K30" s="194"/>
      <c r="L30" s="194"/>
      <c r="M30" s="195"/>
      <c r="N30" s="195">
        <f>N32+N39</f>
        <v>13510.55</v>
      </c>
      <c r="O30" s="195"/>
      <c r="P30" s="195" t="e">
        <f>P32+P39</f>
        <v>#VALUE!</v>
      </c>
      <c r="Q30" s="205"/>
      <c r="R30" s="205" t="e">
        <f>R32+R39</f>
        <v>#VALUE!</v>
      </c>
      <c r="S30" s="143"/>
      <c r="T30" s="135"/>
      <c r="U30" s="135"/>
      <c r="V30" s="135"/>
      <c r="W30" s="135"/>
      <c r="X30" s="135"/>
      <c r="Y30" s="135"/>
      <c r="Z30" s="135"/>
    </row>
    <row r="31" spans="2:26" ht="13.5" thickBot="1">
      <c r="B31" s="278" t="s">
        <v>121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0"/>
      <c r="O31" s="270"/>
      <c r="P31" s="270"/>
      <c r="Q31" s="270"/>
      <c r="R31" s="270"/>
      <c r="S31" s="271"/>
      <c r="T31" s="271"/>
      <c r="U31" s="271"/>
      <c r="V31" s="271"/>
      <c r="W31" s="271"/>
      <c r="X31" s="271"/>
      <c r="Y31" s="271"/>
      <c r="Z31" s="272"/>
    </row>
    <row r="32" spans="2:26" ht="13.5" thickBot="1">
      <c r="B32" s="273"/>
      <c r="C32" s="274"/>
      <c r="D32" s="275"/>
      <c r="E32" s="165"/>
      <c r="F32" s="165">
        <f>SUM(F33:F37)</f>
        <v>0</v>
      </c>
      <c r="G32" s="165">
        <f>SUM(G33:G37)</f>
        <v>0</v>
      </c>
      <c r="H32" s="165"/>
      <c r="I32" s="243"/>
      <c r="J32" s="165"/>
      <c r="K32" s="165"/>
      <c r="L32" s="165"/>
      <c r="M32" s="165"/>
      <c r="N32" s="166">
        <f>SUM(N33:N37)</f>
        <v>0</v>
      </c>
      <c r="O32" s="184"/>
      <c r="P32" s="185" t="e">
        <f>SUM(P33:P37)</f>
        <v>#VALUE!</v>
      </c>
      <c r="Q32" s="202"/>
      <c r="R32" s="203">
        <f>SUM(R33:R37)</f>
        <v>0</v>
      </c>
      <c r="S32" s="152"/>
      <c r="T32" s="151"/>
      <c r="U32" s="151"/>
      <c r="V32" s="151"/>
      <c r="W32" s="151"/>
      <c r="X32" s="151"/>
      <c r="Y32" s="151"/>
      <c r="Z32" s="151"/>
    </row>
    <row r="33" spans="1:26" ht="39" thickBot="1">
      <c r="B33" s="174">
        <v>1</v>
      </c>
      <c r="C33" s="175" t="s">
        <v>122</v>
      </c>
      <c r="D33" s="175" t="s">
        <v>103</v>
      </c>
      <c r="E33" s="137">
        <v>7.3375000000000004</v>
      </c>
      <c r="F33" s="137"/>
      <c r="G33" s="137"/>
      <c r="H33" s="137"/>
      <c r="I33" s="244" t="s">
        <v>97</v>
      </c>
      <c r="J33" s="137">
        <v>6.5919999999999996</v>
      </c>
      <c r="K33" s="137">
        <v>6.2489999999999997</v>
      </c>
      <c r="L33" s="137">
        <v>5.7930000000000001</v>
      </c>
      <c r="M33" s="176"/>
      <c r="N33" s="176">
        <f>F33*M33</f>
        <v>0</v>
      </c>
      <c r="O33" s="217" t="e">
        <f>$C$1*I33</f>
        <v>#VALUE!</v>
      </c>
      <c r="P33" s="182" t="e">
        <f>G33*O33</f>
        <v>#VALUE!</v>
      </c>
      <c r="Q33" s="221"/>
      <c r="R33" s="200"/>
      <c r="S33" s="143"/>
      <c r="T33" s="148">
        <v>2.8855</v>
      </c>
      <c r="U33" s="149">
        <v>2.8855</v>
      </c>
      <c r="V33" s="149" t="s">
        <v>97</v>
      </c>
      <c r="W33" s="149" t="s">
        <v>97</v>
      </c>
      <c r="X33" s="149" t="s">
        <v>97</v>
      </c>
      <c r="Y33" s="149" t="s">
        <v>97</v>
      </c>
      <c r="Z33" s="149" t="s">
        <v>97</v>
      </c>
    </row>
    <row r="34" spans="1:26" ht="39" thickBot="1">
      <c r="B34" s="174">
        <v>2</v>
      </c>
      <c r="C34" s="175" t="s">
        <v>123</v>
      </c>
      <c r="D34" s="175" t="s">
        <v>103</v>
      </c>
      <c r="E34" s="137">
        <v>6.9340000000000002</v>
      </c>
      <c r="F34" s="137"/>
      <c r="G34" s="137"/>
      <c r="H34" s="137"/>
      <c r="I34" s="242" t="s">
        <v>97</v>
      </c>
      <c r="J34" s="137">
        <v>6.2489999999999997</v>
      </c>
      <c r="K34" s="137">
        <v>5.8555000000000001</v>
      </c>
      <c r="L34" s="137">
        <v>5.5129999999999999</v>
      </c>
      <c r="M34" s="176"/>
      <c r="N34" s="176">
        <f>F34*M34</f>
        <v>0</v>
      </c>
      <c r="O34" s="217" t="e">
        <f>$C$1*I34</f>
        <v>#VALUE!</v>
      </c>
      <c r="P34" s="182" t="e">
        <f>G34*O34</f>
        <v>#VALUE!</v>
      </c>
      <c r="Q34" s="221"/>
      <c r="R34" s="200"/>
      <c r="S34" s="143"/>
      <c r="T34" s="134">
        <v>2.8855</v>
      </c>
      <c r="U34" s="131">
        <v>2.8855</v>
      </c>
      <c r="V34" s="131" t="s">
        <v>97</v>
      </c>
      <c r="W34" s="131" t="s">
        <v>97</v>
      </c>
      <c r="X34" s="131" t="s">
        <v>97</v>
      </c>
      <c r="Y34" s="131" t="s">
        <v>97</v>
      </c>
      <c r="Z34" s="131" t="s">
        <v>97</v>
      </c>
    </row>
    <row r="35" spans="1:26" ht="51.75" thickBot="1">
      <c r="B35" s="174">
        <v>3</v>
      </c>
      <c r="C35" s="175" t="s">
        <v>124</v>
      </c>
      <c r="D35" s="175" t="s">
        <v>109</v>
      </c>
      <c r="E35" s="137">
        <v>3.9359999999999999</v>
      </c>
      <c r="F35" s="137"/>
      <c r="G35" s="137"/>
      <c r="H35" s="137"/>
      <c r="I35" s="242" t="s">
        <v>97</v>
      </c>
      <c r="J35" s="137">
        <v>3.5234999999999999</v>
      </c>
      <c r="K35" s="137">
        <v>3.3254999999999999</v>
      </c>
      <c r="L35" s="137">
        <v>3.11</v>
      </c>
      <c r="M35" s="176"/>
      <c r="N35" s="176">
        <f>F35*M35</f>
        <v>0</v>
      </c>
      <c r="O35" s="217" t="e">
        <f>$C$1*I35</f>
        <v>#VALUE!</v>
      </c>
      <c r="P35" s="182" t="e">
        <f>G35*O35</f>
        <v>#VALUE!</v>
      </c>
      <c r="Q35" s="221"/>
      <c r="R35" s="200"/>
      <c r="S35" s="143"/>
      <c r="T35" s="134">
        <v>2.0219999999999998</v>
      </c>
      <c r="U35" s="131">
        <v>2.0219999999999998</v>
      </c>
      <c r="V35" s="131" t="s">
        <v>97</v>
      </c>
      <c r="W35" s="131" t="s">
        <v>97</v>
      </c>
      <c r="X35" s="131" t="s">
        <v>97</v>
      </c>
      <c r="Y35" s="131" t="s">
        <v>97</v>
      </c>
      <c r="Z35" s="131" t="s">
        <v>97</v>
      </c>
    </row>
    <row r="36" spans="1:26" ht="51.75" thickBot="1">
      <c r="B36" s="174">
        <v>4</v>
      </c>
      <c r="C36" s="175" t="s">
        <v>125</v>
      </c>
      <c r="D36" s="175" t="s">
        <v>109</v>
      </c>
      <c r="E36" s="137" t="s">
        <v>97</v>
      </c>
      <c r="F36" s="137"/>
      <c r="G36" s="137"/>
      <c r="H36" s="137"/>
      <c r="I36" s="242" t="s">
        <v>97</v>
      </c>
      <c r="J36" s="137" t="s">
        <v>97</v>
      </c>
      <c r="K36" s="137" t="s">
        <v>97</v>
      </c>
      <c r="L36" s="137" t="s">
        <v>97</v>
      </c>
      <c r="M36" s="176"/>
      <c r="N36" s="176"/>
      <c r="O36" s="217"/>
      <c r="P36" s="182"/>
      <c r="Q36" s="221"/>
      <c r="R36" s="200"/>
      <c r="S36" s="143"/>
      <c r="T36" s="134" t="s">
        <v>97</v>
      </c>
      <c r="U36" s="131" t="s">
        <v>97</v>
      </c>
      <c r="V36" s="131">
        <v>1.9135</v>
      </c>
      <c r="W36" s="131">
        <v>1.8640000000000001</v>
      </c>
      <c r="X36" s="131" t="s">
        <v>97</v>
      </c>
      <c r="Y36" s="131" t="s">
        <v>97</v>
      </c>
      <c r="Z36" s="131" t="s">
        <v>97</v>
      </c>
    </row>
    <row r="37" spans="1:26" ht="51.75" thickBot="1">
      <c r="B37" s="177">
        <v>5</v>
      </c>
      <c r="C37" s="175" t="s">
        <v>126</v>
      </c>
      <c r="D37" s="175" t="s">
        <v>109</v>
      </c>
      <c r="E37" s="137">
        <v>3.9089999999999998</v>
      </c>
      <c r="F37" s="137"/>
      <c r="G37" s="137"/>
      <c r="H37" s="137"/>
      <c r="I37" s="242" t="s">
        <v>97</v>
      </c>
      <c r="J37" s="137">
        <v>3.5049999999999999</v>
      </c>
      <c r="K37" s="137">
        <v>3.3165</v>
      </c>
      <c r="L37" s="137">
        <v>3.11</v>
      </c>
      <c r="M37" s="176"/>
      <c r="N37" s="176">
        <f>F37*M37</f>
        <v>0</v>
      </c>
      <c r="O37" s="217" t="e">
        <f>$C$1*I37</f>
        <v>#VALUE!</v>
      </c>
      <c r="P37" s="182" t="e">
        <f>G37*O37</f>
        <v>#VALUE!</v>
      </c>
      <c r="Q37" s="221"/>
      <c r="R37" s="200"/>
      <c r="S37" s="143"/>
      <c r="T37" s="134">
        <v>1.806</v>
      </c>
      <c r="U37" s="131">
        <v>1.806</v>
      </c>
      <c r="V37" s="131">
        <v>1.7569999999999999</v>
      </c>
      <c r="W37" s="131">
        <v>1.5905</v>
      </c>
      <c r="X37" s="131" t="s">
        <v>97</v>
      </c>
      <c r="Y37" s="131" t="s">
        <v>97</v>
      </c>
      <c r="Z37" s="131" t="s">
        <v>97</v>
      </c>
    </row>
    <row r="38" spans="1:26" ht="13.5" thickBot="1">
      <c r="B38" s="280" t="s">
        <v>127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0"/>
      <c r="O38" s="270"/>
      <c r="P38" s="270"/>
      <c r="Q38" s="270"/>
      <c r="R38" s="270"/>
      <c r="S38" s="271"/>
      <c r="T38" s="271"/>
      <c r="U38" s="271"/>
      <c r="V38" s="271"/>
      <c r="W38" s="271"/>
      <c r="X38" s="271"/>
      <c r="Y38" s="271"/>
      <c r="Z38" s="272"/>
    </row>
    <row r="39" spans="1:26" ht="13.5" thickBot="1">
      <c r="B39" s="273"/>
      <c r="C39" s="274"/>
      <c r="D39" s="275"/>
      <c r="E39" s="165"/>
      <c r="F39" s="165">
        <f>SUM(F40:F73)</f>
        <v>5</v>
      </c>
      <c r="G39" s="165">
        <f>SUM(G40:G73)</f>
        <v>0</v>
      </c>
      <c r="H39" s="165">
        <f>SUM(H40:H73)</f>
        <v>0</v>
      </c>
      <c r="I39" s="243"/>
      <c r="J39" s="165"/>
      <c r="K39" s="165"/>
      <c r="L39" s="165"/>
      <c r="M39" s="165"/>
      <c r="N39" s="166">
        <f>SUM(N40:N73)</f>
        <v>13510.55</v>
      </c>
      <c r="O39" s="165"/>
      <c r="P39" s="166" t="e">
        <f>SUM(P40:P73)</f>
        <v>#VALUE!</v>
      </c>
      <c r="Q39" s="166"/>
      <c r="R39" s="166" t="e">
        <f>SUM(R40:R73)</f>
        <v>#VALUE!</v>
      </c>
      <c r="S39" s="152"/>
      <c r="T39" s="151"/>
      <c r="U39" s="151"/>
      <c r="V39" s="151"/>
      <c r="W39" s="151"/>
      <c r="X39" s="151"/>
      <c r="Y39" s="151"/>
      <c r="Z39" s="151"/>
    </row>
    <row r="40" spans="1:26" ht="39" thickBot="1">
      <c r="B40" s="130">
        <v>1</v>
      </c>
      <c r="C40" s="129" t="s">
        <v>128</v>
      </c>
      <c r="D40" s="178" t="s">
        <v>103</v>
      </c>
      <c r="E40" s="131" t="s">
        <v>97</v>
      </c>
      <c r="F40" s="131"/>
      <c r="G40" s="131"/>
      <c r="H40" s="131"/>
      <c r="I40" s="244" t="s">
        <v>97</v>
      </c>
      <c r="J40" s="131" t="s">
        <v>97</v>
      </c>
      <c r="K40" s="131" t="s">
        <v>97</v>
      </c>
      <c r="L40" s="131" t="s">
        <v>97</v>
      </c>
      <c r="M40" s="157"/>
      <c r="N40" s="212"/>
      <c r="O40" s="217"/>
      <c r="P40" s="182"/>
      <c r="Q40" s="221"/>
      <c r="R40" s="200"/>
      <c r="S40" s="143"/>
      <c r="T40" s="148">
        <v>3.8895</v>
      </c>
      <c r="U40" s="149">
        <v>3.5019999999999998</v>
      </c>
      <c r="V40" s="149">
        <v>3.1145</v>
      </c>
      <c r="W40" s="149">
        <v>2.7265000000000001</v>
      </c>
      <c r="X40" s="149" t="s">
        <v>97</v>
      </c>
      <c r="Y40" s="149" t="s">
        <v>97</v>
      </c>
      <c r="Z40" s="149" t="s">
        <v>97</v>
      </c>
    </row>
    <row r="41" spans="1:26" ht="39" thickBot="1">
      <c r="B41" s="130">
        <v>2</v>
      </c>
      <c r="C41" s="129" t="s">
        <v>129</v>
      </c>
      <c r="D41" s="178" t="s">
        <v>103</v>
      </c>
      <c r="E41" s="131" t="s">
        <v>97</v>
      </c>
      <c r="F41" s="131"/>
      <c r="G41" s="131"/>
      <c r="H41" s="131"/>
      <c r="I41" s="242" t="s">
        <v>97</v>
      </c>
      <c r="J41" s="131" t="s">
        <v>97</v>
      </c>
      <c r="K41" s="131" t="s">
        <v>97</v>
      </c>
      <c r="L41" s="131" t="s">
        <v>97</v>
      </c>
      <c r="M41" s="157"/>
      <c r="N41" s="212"/>
      <c r="O41" s="217"/>
      <c r="P41" s="182"/>
      <c r="Q41" s="221"/>
      <c r="R41" s="200"/>
      <c r="S41" s="143"/>
      <c r="T41" s="134">
        <v>2.8855</v>
      </c>
      <c r="U41" s="131">
        <v>2.8855</v>
      </c>
      <c r="V41" s="131">
        <v>2.6475</v>
      </c>
      <c r="W41" s="131">
        <v>2.3555000000000001</v>
      </c>
      <c r="X41" s="131" t="s">
        <v>97</v>
      </c>
      <c r="Y41" s="131" t="s">
        <v>97</v>
      </c>
      <c r="Z41" s="131" t="s">
        <v>97</v>
      </c>
    </row>
    <row r="42" spans="1:26" ht="39" thickBot="1">
      <c r="B42" s="130">
        <v>3</v>
      </c>
      <c r="C42" s="129" t="s">
        <v>130</v>
      </c>
      <c r="D42" s="178" t="s">
        <v>103</v>
      </c>
      <c r="E42" s="131" t="s">
        <v>97</v>
      </c>
      <c r="F42" s="131">
        <v>1</v>
      </c>
      <c r="G42" s="131"/>
      <c r="H42" s="131"/>
      <c r="I42" s="242">
        <v>2.1269999999999998</v>
      </c>
      <c r="J42" s="131" t="s">
        <v>97</v>
      </c>
      <c r="K42" s="131" t="s">
        <v>97</v>
      </c>
      <c r="L42" s="131" t="s">
        <v>97</v>
      </c>
      <c r="M42" s="157">
        <f>C1*I42</f>
        <v>4239.1099999999997</v>
      </c>
      <c r="N42" s="212">
        <f>M42*F42</f>
        <v>4239.1099999999997</v>
      </c>
      <c r="O42" s="217"/>
      <c r="P42" s="182"/>
      <c r="Q42" s="221"/>
      <c r="R42" s="200"/>
      <c r="S42" s="143"/>
      <c r="T42" s="134">
        <v>2.8855</v>
      </c>
      <c r="U42" s="131">
        <v>2.8855</v>
      </c>
      <c r="V42" s="131">
        <v>2.6475</v>
      </c>
      <c r="W42" s="131">
        <v>2.3555000000000001</v>
      </c>
      <c r="X42" s="131">
        <v>2.3035000000000001</v>
      </c>
      <c r="Y42" s="131">
        <v>2.1269999999999998</v>
      </c>
      <c r="Z42" s="131" t="s">
        <v>131</v>
      </c>
    </row>
    <row r="43" spans="1:26" ht="39" thickBot="1">
      <c r="B43" s="130">
        <v>4</v>
      </c>
      <c r="C43" s="129" t="s">
        <v>132</v>
      </c>
      <c r="D43" s="178" t="s">
        <v>103</v>
      </c>
      <c r="E43" s="131">
        <v>5.4504999999999999</v>
      </c>
      <c r="F43" s="131"/>
      <c r="G43" s="131"/>
      <c r="H43" s="131"/>
      <c r="I43" s="242" t="s">
        <v>97</v>
      </c>
      <c r="J43" s="131">
        <v>4.7670000000000003</v>
      </c>
      <c r="K43" s="131">
        <v>4.4249999999999998</v>
      </c>
      <c r="L43" s="131">
        <v>4.0824999999999996</v>
      </c>
      <c r="M43" s="157"/>
      <c r="N43" s="212">
        <f t="shared" ref="N43:N73" si="2">F43*M43</f>
        <v>0</v>
      </c>
      <c r="O43" s="217" t="e">
        <f t="shared" ref="O43:O73" si="3">$C$1*I43</f>
        <v>#VALUE!</v>
      </c>
      <c r="P43" s="182" t="e">
        <f t="shared" ref="P43:P73" si="4">G43*O43</f>
        <v>#VALUE!</v>
      </c>
      <c r="Q43" s="221" t="e">
        <f>$C$1*I43</f>
        <v>#VALUE!</v>
      </c>
      <c r="R43" s="200" t="e">
        <f>H43*Q43</f>
        <v>#VALUE!</v>
      </c>
      <c r="S43" s="143"/>
      <c r="T43" s="134">
        <v>2.762</v>
      </c>
      <c r="U43" s="131">
        <v>2.762</v>
      </c>
      <c r="V43" s="131">
        <v>2.5329999999999999</v>
      </c>
      <c r="W43" s="131">
        <v>2.2509999999999999</v>
      </c>
      <c r="X43" s="131" t="s">
        <v>97</v>
      </c>
      <c r="Y43" s="131" t="s">
        <v>97</v>
      </c>
      <c r="Z43" s="131" t="s">
        <v>97</v>
      </c>
    </row>
    <row r="44" spans="1:26" ht="39" thickBot="1">
      <c r="A44" s="281">
        <f>F44+F45+F46+F34</f>
        <v>0</v>
      </c>
      <c r="B44" s="132">
        <v>5</v>
      </c>
      <c r="C44" s="129" t="s">
        <v>133</v>
      </c>
      <c r="D44" s="178" t="s">
        <v>103</v>
      </c>
      <c r="E44" s="131">
        <v>4.5380000000000003</v>
      </c>
      <c r="F44" s="131"/>
      <c r="G44" s="131"/>
      <c r="H44" s="131"/>
      <c r="I44" s="242" t="s">
        <v>97</v>
      </c>
      <c r="J44" s="131">
        <v>4.0824999999999996</v>
      </c>
      <c r="K44" s="131">
        <v>3.855</v>
      </c>
      <c r="L44" s="131">
        <v>3.6265000000000001</v>
      </c>
      <c r="M44" s="157"/>
      <c r="N44" s="212">
        <f t="shared" si="2"/>
        <v>0</v>
      </c>
      <c r="O44" s="217" t="e">
        <f t="shared" si="3"/>
        <v>#VALUE!</v>
      </c>
      <c r="P44" s="182" t="e">
        <f t="shared" si="4"/>
        <v>#VALUE!</v>
      </c>
      <c r="Q44" s="221" t="e">
        <f t="shared" ref="Q44:Q73" si="5">$C$1*I44</f>
        <v>#VALUE!</v>
      </c>
      <c r="R44" s="200" t="e">
        <f t="shared" ref="R44:R73" si="6">H44*Q44</f>
        <v>#VALUE!</v>
      </c>
      <c r="S44" s="143"/>
      <c r="T44" s="134" t="s">
        <v>97</v>
      </c>
      <c r="U44" s="131" t="s">
        <v>97</v>
      </c>
      <c r="V44" s="131" t="s">
        <v>97</v>
      </c>
      <c r="W44" s="131" t="s">
        <v>97</v>
      </c>
      <c r="X44" s="131" t="s">
        <v>97</v>
      </c>
      <c r="Y44" s="131" t="s">
        <v>97</v>
      </c>
      <c r="Z44" s="131" t="s">
        <v>97</v>
      </c>
    </row>
    <row r="45" spans="1:26" ht="39" thickBot="1">
      <c r="A45" s="281"/>
      <c r="B45" s="132">
        <v>6</v>
      </c>
      <c r="C45" s="129" t="s">
        <v>134</v>
      </c>
      <c r="D45" s="178" t="s">
        <v>103</v>
      </c>
      <c r="E45" s="131">
        <v>4.5380000000000003</v>
      </c>
      <c r="F45" s="131"/>
      <c r="G45" s="131"/>
      <c r="H45" s="131"/>
      <c r="I45" s="242" t="s">
        <v>97</v>
      </c>
      <c r="J45" s="131">
        <v>4.0824999999999996</v>
      </c>
      <c r="K45" s="131">
        <v>3.855</v>
      </c>
      <c r="L45" s="131">
        <v>3.6265000000000001</v>
      </c>
      <c r="M45" s="157"/>
      <c r="N45" s="212">
        <f t="shared" si="2"/>
        <v>0</v>
      </c>
      <c r="O45" s="217" t="e">
        <f t="shared" si="3"/>
        <v>#VALUE!</v>
      </c>
      <c r="P45" s="182" t="e">
        <f t="shared" si="4"/>
        <v>#VALUE!</v>
      </c>
      <c r="Q45" s="221" t="e">
        <f t="shared" si="5"/>
        <v>#VALUE!</v>
      </c>
      <c r="R45" s="200" t="e">
        <f t="shared" si="6"/>
        <v>#VALUE!</v>
      </c>
      <c r="S45" s="143"/>
      <c r="T45" s="134">
        <v>2.7090000000000001</v>
      </c>
      <c r="U45" s="131" t="s">
        <v>97</v>
      </c>
      <c r="V45" s="131" t="s">
        <v>97</v>
      </c>
      <c r="W45" s="131" t="s">
        <v>97</v>
      </c>
      <c r="X45" s="131" t="s">
        <v>97</v>
      </c>
      <c r="Y45" s="131" t="s">
        <v>97</v>
      </c>
      <c r="Z45" s="131" t="s">
        <v>97</v>
      </c>
    </row>
    <row r="46" spans="1:26" ht="39" thickBot="1">
      <c r="A46" s="281"/>
      <c r="B46" s="132">
        <v>7</v>
      </c>
      <c r="C46" s="129" t="s">
        <v>135</v>
      </c>
      <c r="D46" s="178" t="s">
        <v>103</v>
      </c>
      <c r="E46" s="131">
        <v>4.5380000000000003</v>
      </c>
      <c r="F46" s="131"/>
      <c r="G46" s="131"/>
      <c r="H46" s="131"/>
      <c r="I46" s="242" t="s">
        <v>97</v>
      </c>
      <c r="J46" s="131">
        <v>4.0824999999999996</v>
      </c>
      <c r="K46" s="131">
        <v>3.855</v>
      </c>
      <c r="L46" s="131">
        <v>3.6265000000000001</v>
      </c>
      <c r="M46" s="157"/>
      <c r="N46" s="212">
        <f t="shared" si="2"/>
        <v>0</v>
      </c>
      <c r="O46" s="217" t="e">
        <f t="shared" si="3"/>
        <v>#VALUE!</v>
      </c>
      <c r="P46" s="182" t="e">
        <f t="shared" si="4"/>
        <v>#VALUE!</v>
      </c>
      <c r="Q46" s="221" t="e">
        <f t="shared" si="5"/>
        <v>#VALUE!</v>
      </c>
      <c r="R46" s="200" t="e">
        <f t="shared" si="6"/>
        <v>#VALUE!</v>
      </c>
      <c r="S46" s="143"/>
      <c r="T46" s="134">
        <v>2.6475</v>
      </c>
      <c r="U46" s="131">
        <v>2.6475</v>
      </c>
      <c r="V46" s="131">
        <v>2.4180000000000001</v>
      </c>
      <c r="W46" s="131">
        <v>2.2069999999999999</v>
      </c>
      <c r="X46" s="131" t="s">
        <v>97</v>
      </c>
      <c r="Y46" s="131" t="s">
        <v>97</v>
      </c>
      <c r="Z46" s="131" t="s">
        <v>97</v>
      </c>
    </row>
    <row r="47" spans="1:26" ht="39" thickBot="1">
      <c r="A47" s="282">
        <f>F47+F48+F49+F50+F51+F52+F53+F54+F35</f>
        <v>0</v>
      </c>
      <c r="B47" s="132">
        <v>8</v>
      </c>
      <c r="C47" s="129" t="s">
        <v>136</v>
      </c>
      <c r="D47" s="178" t="s">
        <v>106</v>
      </c>
      <c r="E47" s="131">
        <v>3.536</v>
      </c>
      <c r="F47" s="131"/>
      <c r="G47" s="131"/>
      <c r="H47" s="131"/>
      <c r="I47" s="242" t="s">
        <v>97</v>
      </c>
      <c r="J47" s="131">
        <v>3.5234999999999999</v>
      </c>
      <c r="K47" s="131">
        <v>3.3165</v>
      </c>
      <c r="L47" s="131">
        <v>3.1575000000000002</v>
      </c>
      <c r="M47" s="157"/>
      <c r="N47" s="212">
        <f t="shared" si="2"/>
        <v>0</v>
      </c>
      <c r="O47" s="217" t="e">
        <f t="shared" si="3"/>
        <v>#VALUE!</v>
      </c>
      <c r="P47" s="182" t="e">
        <f t="shared" si="4"/>
        <v>#VALUE!</v>
      </c>
      <c r="Q47" s="221" t="e">
        <f t="shared" si="5"/>
        <v>#VALUE!</v>
      </c>
      <c r="R47" s="200" t="e">
        <f t="shared" si="6"/>
        <v>#VALUE!</v>
      </c>
      <c r="S47" s="143"/>
      <c r="T47" s="134" t="s">
        <v>97</v>
      </c>
      <c r="U47" s="131" t="s">
        <v>97</v>
      </c>
      <c r="V47" s="131" t="s">
        <v>97</v>
      </c>
      <c r="W47" s="131" t="s">
        <v>97</v>
      </c>
      <c r="X47" s="131" t="s">
        <v>97</v>
      </c>
      <c r="Y47" s="131" t="s">
        <v>97</v>
      </c>
      <c r="Z47" s="131" t="s">
        <v>97</v>
      </c>
    </row>
    <row r="48" spans="1:26" ht="39" thickBot="1">
      <c r="A48" s="282"/>
      <c r="B48" s="132">
        <v>9</v>
      </c>
      <c r="C48" s="129" t="s">
        <v>137</v>
      </c>
      <c r="D48" s="178" t="s">
        <v>106</v>
      </c>
      <c r="E48" s="131">
        <v>3.673</v>
      </c>
      <c r="F48" s="131"/>
      <c r="G48" s="131"/>
      <c r="H48" s="131"/>
      <c r="I48" s="242" t="s">
        <v>97</v>
      </c>
      <c r="J48" s="131">
        <v>3.26</v>
      </c>
      <c r="K48" s="131">
        <v>3.11</v>
      </c>
      <c r="L48" s="131">
        <v>2.9504999999999999</v>
      </c>
      <c r="M48" s="157"/>
      <c r="N48" s="212">
        <f t="shared" si="2"/>
        <v>0</v>
      </c>
      <c r="O48" s="217" t="e">
        <f t="shared" si="3"/>
        <v>#VALUE!</v>
      </c>
      <c r="P48" s="182" t="e">
        <f t="shared" si="4"/>
        <v>#VALUE!</v>
      </c>
      <c r="Q48" s="221" t="e">
        <f t="shared" si="5"/>
        <v>#VALUE!</v>
      </c>
      <c r="R48" s="200" t="e">
        <f t="shared" si="6"/>
        <v>#VALUE!</v>
      </c>
      <c r="S48" s="143"/>
      <c r="T48" s="134">
        <v>2.3290000000000002</v>
      </c>
      <c r="U48" s="131" t="s">
        <v>97</v>
      </c>
      <c r="V48" s="131" t="s">
        <v>97</v>
      </c>
      <c r="W48" s="131" t="s">
        <v>97</v>
      </c>
      <c r="X48" s="131" t="s">
        <v>97</v>
      </c>
      <c r="Y48" s="131" t="s">
        <v>97</v>
      </c>
      <c r="Z48" s="131" t="s">
        <v>97</v>
      </c>
    </row>
    <row r="49" spans="1:26" ht="39" thickBot="1">
      <c r="A49" s="282"/>
      <c r="B49" s="132">
        <v>10</v>
      </c>
      <c r="C49" s="129" t="s">
        <v>138</v>
      </c>
      <c r="D49" s="178" t="s">
        <v>106</v>
      </c>
      <c r="E49" s="131">
        <v>3.673</v>
      </c>
      <c r="F49" s="131"/>
      <c r="G49" s="131"/>
      <c r="H49" s="131"/>
      <c r="I49" s="242" t="s">
        <v>97</v>
      </c>
      <c r="J49" s="131">
        <v>3.26</v>
      </c>
      <c r="K49" s="131">
        <v>3.11</v>
      </c>
      <c r="L49" s="131">
        <v>2.9504999999999999</v>
      </c>
      <c r="M49" s="157"/>
      <c r="N49" s="212">
        <f t="shared" si="2"/>
        <v>0</v>
      </c>
      <c r="O49" s="217" t="e">
        <f t="shared" si="3"/>
        <v>#VALUE!</v>
      </c>
      <c r="P49" s="182" t="e">
        <f t="shared" si="4"/>
        <v>#VALUE!</v>
      </c>
      <c r="Q49" s="221" t="e">
        <f t="shared" si="5"/>
        <v>#VALUE!</v>
      </c>
      <c r="R49" s="200" t="e">
        <f t="shared" si="6"/>
        <v>#VALUE!</v>
      </c>
      <c r="S49" s="143"/>
      <c r="T49" s="134">
        <v>2.1970000000000001</v>
      </c>
      <c r="U49" s="131">
        <v>2.1970000000000001</v>
      </c>
      <c r="V49" s="131">
        <v>2.08</v>
      </c>
      <c r="W49" s="131">
        <v>1.9724999999999999</v>
      </c>
      <c r="X49" s="131" t="s">
        <v>97</v>
      </c>
      <c r="Y49" s="131" t="s">
        <v>97</v>
      </c>
      <c r="Z49" s="131" t="s">
        <v>97</v>
      </c>
    </row>
    <row r="50" spans="1:26" ht="39" thickBot="1">
      <c r="A50" s="282"/>
      <c r="B50" s="132">
        <v>11</v>
      </c>
      <c r="C50" s="129" t="s">
        <v>139</v>
      </c>
      <c r="D50" s="178" t="s">
        <v>106</v>
      </c>
      <c r="E50" s="131">
        <v>3.8795000000000002</v>
      </c>
      <c r="F50" s="131"/>
      <c r="G50" s="131"/>
      <c r="H50" s="131"/>
      <c r="I50" s="242" t="s">
        <v>97</v>
      </c>
      <c r="J50" s="131">
        <v>3.5234999999999999</v>
      </c>
      <c r="K50" s="131">
        <v>3.3165</v>
      </c>
      <c r="L50" s="131">
        <v>3.1575000000000002</v>
      </c>
      <c r="M50" s="157"/>
      <c r="N50" s="212">
        <f t="shared" si="2"/>
        <v>0</v>
      </c>
      <c r="O50" s="217" t="e">
        <f t="shared" si="3"/>
        <v>#VALUE!</v>
      </c>
      <c r="P50" s="182" t="e">
        <f t="shared" si="4"/>
        <v>#VALUE!</v>
      </c>
      <c r="Q50" s="221" t="e">
        <f t="shared" si="5"/>
        <v>#VALUE!</v>
      </c>
      <c r="R50" s="200" t="e">
        <f t="shared" si="6"/>
        <v>#VALUE!</v>
      </c>
      <c r="S50" s="143"/>
      <c r="T50" s="134" t="s">
        <v>97</v>
      </c>
      <c r="U50" s="131" t="s">
        <v>97</v>
      </c>
      <c r="V50" s="131" t="s">
        <v>97</v>
      </c>
      <c r="W50" s="131" t="s">
        <v>97</v>
      </c>
      <c r="X50" s="131" t="s">
        <v>97</v>
      </c>
      <c r="Y50" s="131" t="s">
        <v>97</v>
      </c>
      <c r="Z50" s="131" t="s">
        <v>97</v>
      </c>
    </row>
    <row r="51" spans="1:26" ht="39" thickBot="1">
      <c r="A51" s="282"/>
      <c r="B51" s="132">
        <v>12</v>
      </c>
      <c r="C51" s="129" t="s">
        <v>140</v>
      </c>
      <c r="D51" s="178" t="s">
        <v>106</v>
      </c>
      <c r="E51" s="131">
        <v>3.8795000000000002</v>
      </c>
      <c r="F51" s="131"/>
      <c r="G51" s="131"/>
      <c r="H51" s="131"/>
      <c r="I51" s="242" t="s">
        <v>97</v>
      </c>
      <c r="J51" s="131">
        <v>3.5234999999999999</v>
      </c>
      <c r="K51" s="131">
        <v>3.3165</v>
      </c>
      <c r="L51" s="131">
        <v>3.1575000000000002</v>
      </c>
      <c r="M51" s="157"/>
      <c r="N51" s="212">
        <f t="shared" si="2"/>
        <v>0</v>
      </c>
      <c r="O51" s="217" t="e">
        <f t="shared" si="3"/>
        <v>#VALUE!</v>
      </c>
      <c r="P51" s="182" t="e">
        <f t="shared" si="4"/>
        <v>#VALUE!</v>
      </c>
      <c r="Q51" s="221" t="e">
        <f t="shared" si="5"/>
        <v>#VALUE!</v>
      </c>
      <c r="R51" s="200" t="e">
        <f t="shared" si="6"/>
        <v>#VALUE!</v>
      </c>
      <c r="S51" s="143"/>
      <c r="T51" s="134" t="s">
        <v>97</v>
      </c>
      <c r="U51" s="131" t="s">
        <v>97</v>
      </c>
      <c r="V51" s="131" t="s">
        <v>97</v>
      </c>
      <c r="W51" s="131" t="s">
        <v>97</v>
      </c>
      <c r="X51" s="131" t="s">
        <v>97</v>
      </c>
      <c r="Y51" s="131" t="s">
        <v>97</v>
      </c>
      <c r="Z51" s="131" t="s">
        <v>97</v>
      </c>
    </row>
    <row r="52" spans="1:26" ht="39" thickBot="1">
      <c r="A52" s="282"/>
      <c r="B52" s="132">
        <v>13</v>
      </c>
      <c r="C52" s="129" t="s">
        <v>141</v>
      </c>
      <c r="D52" s="178" t="s">
        <v>106</v>
      </c>
      <c r="E52" s="131">
        <v>3.8795000000000002</v>
      </c>
      <c r="F52" s="131"/>
      <c r="G52" s="131"/>
      <c r="H52" s="131"/>
      <c r="I52" s="242" t="s">
        <v>97</v>
      </c>
      <c r="J52" s="131">
        <v>3.5234999999999999</v>
      </c>
      <c r="K52" s="131">
        <v>3.3165</v>
      </c>
      <c r="L52" s="131">
        <v>3.1575000000000002</v>
      </c>
      <c r="M52" s="157"/>
      <c r="N52" s="212">
        <f t="shared" si="2"/>
        <v>0</v>
      </c>
      <c r="O52" s="217" t="e">
        <f t="shared" si="3"/>
        <v>#VALUE!</v>
      </c>
      <c r="P52" s="182" t="e">
        <f t="shared" si="4"/>
        <v>#VALUE!</v>
      </c>
      <c r="Q52" s="221" t="e">
        <f t="shared" si="5"/>
        <v>#VALUE!</v>
      </c>
      <c r="R52" s="200" t="e">
        <f t="shared" si="6"/>
        <v>#VALUE!</v>
      </c>
      <c r="S52" s="143"/>
      <c r="T52" s="134" t="s">
        <v>97</v>
      </c>
      <c r="U52" s="131" t="s">
        <v>97</v>
      </c>
      <c r="V52" s="131" t="s">
        <v>97</v>
      </c>
      <c r="W52" s="131" t="s">
        <v>97</v>
      </c>
      <c r="X52" s="131" t="s">
        <v>97</v>
      </c>
      <c r="Y52" s="131" t="s">
        <v>97</v>
      </c>
      <c r="Z52" s="131" t="s">
        <v>97</v>
      </c>
    </row>
    <row r="53" spans="1:26" ht="39" thickBot="1">
      <c r="A53" s="282"/>
      <c r="B53" s="132">
        <v>14</v>
      </c>
      <c r="C53" s="129" t="s">
        <v>107</v>
      </c>
      <c r="D53" s="178" t="s">
        <v>106</v>
      </c>
      <c r="E53" s="131">
        <v>3.2189999999999999</v>
      </c>
      <c r="F53" s="131"/>
      <c r="G53" s="131"/>
      <c r="H53" s="131"/>
      <c r="I53" s="242">
        <v>1.7569999999999999</v>
      </c>
      <c r="J53" s="131">
        <v>2.8959999999999999</v>
      </c>
      <c r="K53" s="131">
        <v>2.7090000000000001</v>
      </c>
      <c r="L53" s="131">
        <v>2.5640000000000001</v>
      </c>
      <c r="M53" s="157">
        <f>$C$1*I53</f>
        <v>3501.7</v>
      </c>
      <c r="N53" s="212">
        <f t="shared" si="2"/>
        <v>0</v>
      </c>
      <c r="O53" s="217">
        <f t="shared" si="3"/>
        <v>3501.7</v>
      </c>
      <c r="P53" s="182">
        <f t="shared" si="4"/>
        <v>0</v>
      </c>
      <c r="Q53" s="221">
        <f t="shared" si="5"/>
        <v>3501.7</v>
      </c>
      <c r="R53" s="200">
        <f t="shared" si="6"/>
        <v>0</v>
      </c>
      <c r="S53" s="143"/>
      <c r="T53" s="134">
        <v>2.1379999999999999</v>
      </c>
      <c r="U53" s="131">
        <v>2.1379999999999999</v>
      </c>
      <c r="V53" s="131">
        <v>2.0219999999999998</v>
      </c>
      <c r="W53" s="131">
        <v>1.9135</v>
      </c>
      <c r="X53" s="131">
        <v>1.9135</v>
      </c>
      <c r="Y53" s="131">
        <v>1.7569999999999999</v>
      </c>
      <c r="Z53" s="131" t="s">
        <v>97</v>
      </c>
    </row>
    <row r="54" spans="1:26" ht="39" thickBot="1">
      <c r="A54" s="282"/>
      <c r="B54" s="132">
        <v>15</v>
      </c>
      <c r="C54" s="129" t="s">
        <v>142</v>
      </c>
      <c r="D54" s="129" t="s">
        <v>143</v>
      </c>
      <c r="E54" s="131">
        <v>2.7444999999999999</v>
      </c>
      <c r="F54" s="131"/>
      <c r="G54" s="131"/>
      <c r="H54" s="131"/>
      <c r="I54" s="242">
        <v>1.4239999999999999</v>
      </c>
      <c r="J54" s="131">
        <v>2.4895</v>
      </c>
      <c r="K54" s="131">
        <v>2.3304999999999998</v>
      </c>
      <c r="L54" s="131">
        <v>2.2275</v>
      </c>
      <c r="M54" s="157">
        <f>$C$1*I54</f>
        <v>2838.03</v>
      </c>
      <c r="N54" s="212">
        <f t="shared" si="2"/>
        <v>0</v>
      </c>
      <c r="O54" s="217">
        <f t="shared" si="3"/>
        <v>2838.03</v>
      </c>
      <c r="P54" s="182">
        <f t="shared" si="4"/>
        <v>0</v>
      </c>
      <c r="Q54" s="221">
        <f t="shared" si="5"/>
        <v>2838.03</v>
      </c>
      <c r="R54" s="200">
        <f t="shared" si="6"/>
        <v>0</v>
      </c>
      <c r="S54" s="143"/>
      <c r="T54" s="134">
        <v>1.64</v>
      </c>
      <c r="U54" s="131">
        <v>1.64</v>
      </c>
      <c r="V54" s="131">
        <v>1.5905</v>
      </c>
      <c r="W54" s="131">
        <v>1.5329999999999999</v>
      </c>
      <c r="X54" s="131">
        <v>1.4735</v>
      </c>
      <c r="Y54" s="131">
        <v>1.4239999999999999</v>
      </c>
      <c r="Z54" s="131" t="s">
        <v>97</v>
      </c>
    </row>
    <row r="55" spans="1:26" ht="39" thickBot="1">
      <c r="A55" s="283">
        <f>SUM(F55:F66)</f>
        <v>0</v>
      </c>
      <c r="B55" s="132">
        <v>16</v>
      </c>
      <c r="C55" s="129" t="s">
        <v>144</v>
      </c>
      <c r="D55" s="178" t="s">
        <v>112</v>
      </c>
      <c r="E55" s="131">
        <v>3.2189999999999999</v>
      </c>
      <c r="F55" s="131"/>
      <c r="G55" s="131"/>
      <c r="H55" s="131"/>
      <c r="I55" s="242" t="s">
        <v>97</v>
      </c>
      <c r="J55" s="131">
        <v>2.8959999999999999</v>
      </c>
      <c r="K55" s="131">
        <v>2.7090000000000001</v>
      </c>
      <c r="L55" s="131">
        <v>2.5640000000000001</v>
      </c>
      <c r="M55" s="157"/>
      <c r="N55" s="212">
        <f t="shared" si="2"/>
        <v>0</v>
      </c>
      <c r="O55" s="217" t="e">
        <f t="shared" si="3"/>
        <v>#VALUE!</v>
      </c>
      <c r="P55" s="182" t="e">
        <f t="shared" si="4"/>
        <v>#VALUE!</v>
      </c>
      <c r="Q55" s="221" t="e">
        <f t="shared" si="5"/>
        <v>#VALUE!</v>
      </c>
      <c r="R55" s="200" t="e">
        <f t="shared" si="6"/>
        <v>#VALUE!</v>
      </c>
      <c r="S55" s="143"/>
      <c r="T55" s="134" t="s">
        <v>97</v>
      </c>
      <c r="U55" s="131" t="s">
        <v>97</v>
      </c>
      <c r="V55" s="131" t="s">
        <v>97</v>
      </c>
      <c r="W55" s="131" t="s">
        <v>97</v>
      </c>
      <c r="X55" s="131" t="s">
        <v>97</v>
      </c>
      <c r="Y55" s="131" t="s">
        <v>97</v>
      </c>
      <c r="Z55" s="131" t="s">
        <v>97</v>
      </c>
    </row>
    <row r="56" spans="1:26" ht="39" thickBot="1">
      <c r="A56" s="283"/>
      <c r="B56" s="132">
        <v>17</v>
      </c>
      <c r="C56" s="129" t="s">
        <v>145</v>
      </c>
      <c r="D56" s="178" t="s">
        <v>112</v>
      </c>
      <c r="E56" s="131">
        <v>3.2189999999999999</v>
      </c>
      <c r="F56" s="131"/>
      <c r="G56" s="131"/>
      <c r="H56" s="131"/>
      <c r="I56" s="242" t="s">
        <v>97</v>
      </c>
      <c r="J56" s="131">
        <v>2.8959999999999999</v>
      </c>
      <c r="K56" s="131">
        <v>2.7090000000000001</v>
      </c>
      <c r="L56" s="131">
        <v>2.5640000000000001</v>
      </c>
      <c r="M56" s="157"/>
      <c r="N56" s="212">
        <f t="shared" si="2"/>
        <v>0</v>
      </c>
      <c r="O56" s="217" t="e">
        <f t="shared" si="3"/>
        <v>#VALUE!</v>
      </c>
      <c r="P56" s="182" t="e">
        <f t="shared" si="4"/>
        <v>#VALUE!</v>
      </c>
      <c r="Q56" s="221" t="e">
        <f t="shared" si="5"/>
        <v>#VALUE!</v>
      </c>
      <c r="R56" s="200" t="e">
        <f t="shared" si="6"/>
        <v>#VALUE!</v>
      </c>
      <c r="S56" s="143"/>
      <c r="T56" s="134" t="s">
        <v>97</v>
      </c>
      <c r="U56" s="131" t="s">
        <v>97</v>
      </c>
      <c r="V56" s="131" t="s">
        <v>97</v>
      </c>
      <c r="W56" s="131" t="s">
        <v>97</v>
      </c>
      <c r="X56" s="131" t="s">
        <v>97</v>
      </c>
      <c r="Y56" s="131" t="s">
        <v>97</v>
      </c>
      <c r="Z56" s="131" t="s">
        <v>97</v>
      </c>
    </row>
    <row r="57" spans="1:26" ht="39" thickBot="1">
      <c r="A57" s="283"/>
      <c r="B57" s="132">
        <v>18</v>
      </c>
      <c r="C57" s="129" t="s">
        <v>113</v>
      </c>
      <c r="D57" s="178" t="s">
        <v>112</v>
      </c>
      <c r="E57" s="131">
        <v>2.5640000000000001</v>
      </c>
      <c r="F57" s="131"/>
      <c r="G57" s="131"/>
      <c r="H57" s="131"/>
      <c r="I57" s="242" t="s">
        <v>97</v>
      </c>
      <c r="J57" s="131">
        <v>2.3765000000000001</v>
      </c>
      <c r="K57" s="131">
        <v>2.2829999999999999</v>
      </c>
      <c r="L57" s="131">
        <v>2.0019999999999998</v>
      </c>
      <c r="M57" s="157"/>
      <c r="N57" s="212">
        <f t="shared" si="2"/>
        <v>0</v>
      </c>
      <c r="O57" s="217" t="e">
        <f t="shared" si="3"/>
        <v>#VALUE!</v>
      </c>
      <c r="P57" s="182" t="e">
        <f t="shared" si="4"/>
        <v>#VALUE!</v>
      </c>
      <c r="Q57" s="221" t="e">
        <f t="shared" si="5"/>
        <v>#VALUE!</v>
      </c>
      <c r="R57" s="200" t="e">
        <f t="shared" si="6"/>
        <v>#VALUE!</v>
      </c>
      <c r="S57" s="143"/>
      <c r="T57" s="134" t="s">
        <v>97</v>
      </c>
      <c r="U57" s="131" t="s">
        <v>97</v>
      </c>
      <c r="V57" s="131" t="s">
        <v>97</v>
      </c>
      <c r="W57" s="131" t="s">
        <v>97</v>
      </c>
      <c r="X57" s="131" t="s">
        <v>97</v>
      </c>
      <c r="Y57" s="131" t="s">
        <v>97</v>
      </c>
      <c r="Z57" s="131" t="s">
        <v>97</v>
      </c>
    </row>
    <row r="58" spans="1:26" ht="39" thickBot="1">
      <c r="A58" s="283"/>
      <c r="B58" s="132">
        <v>19</v>
      </c>
      <c r="C58" s="129" t="s">
        <v>146</v>
      </c>
      <c r="D58" s="178" t="s">
        <v>112</v>
      </c>
      <c r="E58" s="131">
        <v>2.7505000000000002</v>
      </c>
      <c r="F58" s="131"/>
      <c r="G58" s="131"/>
      <c r="H58" s="131"/>
      <c r="I58" s="242" t="s">
        <v>97</v>
      </c>
      <c r="J58" s="131">
        <v>2.5640000000000001</v>
      </c>
      <c r="K58" s="131">
        <v>2.4359999999999999</v>
      </c>
      <c r="L58" s="131">
        <v>2.2395</v>
      </c>
      <c r="M58" s="157"/>
      <c r="N58" s="212">
        <f t="shared" si="2"/>
        <v>0</v>
      </c>
      <c r="O58" s="217" t="e">
        <f t="shared" si="3"/>
        <v>#VALUE!</v>
      </c>
      <c r="P58" s="182" t="e">
        <f t="shared" si="4"/>
        <v>#VALUE!</v>
      </c>
      <c r="Q58" s="221" t="e">
        <f t="shared" si="5"/>
        <v>#VALUE!</v>
      </c>
      <c r="R58" s="200" t="e">
        <f t="shared" si="6"/>
        <v>#VALUE!</v>
      </c>
      <c r="S58" s="143"/>
      <c r="T58" s="130">
        <v>2.0070000000000001</v>
      </c>
      <c r="U58" s="132">
        <v>2.0070000000000001</v>
      </c>
      <c r="V58" s="132">
        <v>1.8965000000000001</v>
      </c>
      <c r="W58" s="132">
        <v>1.7384999999999999</v>
      </c>
      <c r="X58" s="131" t="s">
        <v>97</v>
      </c>
      <c r="Y58" s="131" t="s">
        <v>97</v>
      </c>
      <c r="Z58" s="131" t="s">
        <v>97</v>
      </c>
    </row>
    <row r="59" spans="1:26" ht="39" thickBot="1">
      <c r="A59" s="283"/>
      <c r="B59" s="132">
        <v>20</v>
      </c>
      <c r="C59" s="129" t="s">
        <v>147</v>
      </c>
      <c r="D59" s="178" t="s">
        <v>112</v>
      </c>
      <c r="E59" s="131">
        <v>2.5640000000000001</v>
      </c>
      <c r="F59" s="131"/>
      <c r="G59" s="131"/>
      <c r="H59" s="131"/>
      <c r="I59" s="242" t="s">
        <v>97</v>
      </c>
      <c r="J59" s="131">
        <v>2.3765000000000001</v>
      </c>
      <c r="K59" s="131">
        <v>2.2829999999999999</v>
      </c>
      <c r="L59" s="131">
        <v>2.0950000000000002</v>
      </c>
      <c r="M59" s="157"/>
      <c r="N59" s="212">
        <f t="shared" si="2"/>
        <v>0</v>
      </c>
      <c r="O59" s="217" t="e">
        <f t="shared" si="3"/>
        <v>#VALUE!</v>
      </c>
      <c r="P59" s="182" t="e">
        <f t="shared" si="4"/>
        <v>#VALUE!</v>
      </c>
      <c r="Q59" s="221" t="e">
        <f t="shared" si="5"/>
        <v>#VALUE!</v>
      </c>
      <c r="R59" s="200" t="e">
        <f t="shared" si="6"/>
        <v>#VALUE!</v>
      </c>
      <c r="S59" s="143"/>
      <c r="T59" s="134" t="s">
        <v>97</v>
      </c>
      <c r="U59" s="131" t="s">
        <v>97</v>
      </c>
      <c r="V59" s="131" t="s">
        <v>97</v>
      </c>
      <c r="W59" s="131" t="s">
        <v>97</v>
      </c>
      <c r="X59" s="131" t="s">
        <v>97</v>
      </c>
      <c r="Y59" s="131" t="s">
        <v>97</v>
      </c>
      <c r="Z59" s="131" t="s">
        <v>97</v>
      </c>
    </row>
    <row r="60" spans="1:26" ht="39" thickBot="1">
      <c r="A60" s="283"/>
      <c r="B60" s="132">
        <v>21</v>
      </c>
      <c r="C60" s="129" t="s">
        <v>148</v>
      </c>
      <c r="D60" s="178" t="s">
        <v>112</v>
      </c>
      <c r="E60" s="131">
        <v>2.4704999999999999</v>
      </c>
      <c r="F60" s="131"/>
      <c r="G60" s="131"/>
      <c r="H60" s="131"/>
      <c r="I60" s="246">
        <v>16445</v>
      </c>
      <c r="J60" s="131">
        <v>2.1894999999999998</v>
      </c>
      <c r="K60" s="131">
        <v>2.0954999999999999</v>
      </c>
      <c r="L60" s="131">
        <v>1.96</v>
      </c>
      <c r="M60" s="157">
        <f>$C$1*I60</f>
        <v>32774885</v>
      </c>
      <c r="N60" s="212">
        <f t="shared" si="2"/>
        <v>0</v>
      </c>
      <c r="O60" s="217">
        <f t="shared" si="3"/>
        <v>32774885</v>
      </c>
      <c r="P60" s="182">
        <f t="shared" si="4"/>
        <v>0</v>
      </c>
      <c r="Q60" s="221">
        <f t="shared" si="5"/>
        <v>32774885</v>
      </c>
      <c r="R60" s="200">
        <f t="shared" si="6"/>
        <v>0</v>
      </c>
      <c r="S60" s="143"/>
      <c r="T60" s="130">
        <v>1.9515</v>
      </c>
      <c r="U60" s="132">
        <v>1.9515</v>
      </c>
      <c r="V60" s="132">
        <v>1.849</v>
      </c>
      <c r="W60" s="132">
        <v>1.6910000000000001</v>
      </c>
      <c r="X60" s="132">
        <v>1.6445000000000001</v>
      </c>
      <c r="Y60" s="132">
        <v>16445</v>
      </c>
      <c r="Z60" s="131" t="s">
        <v>97</v>
      </c>
    </row>
    <row r="61" spans="1:26" ht="39" thickBot="1">
      <c r="A61" s="283"/>
      <c r="B61" s="132">
        <v>22</v>
      </c>
      <c r="C61" s="129" t="s">
        <v>114</v>
      </c>
      <c r="D61" s="129" t="s">
        <v>115</v>
      </c>
      <c r="E61" s="131">
        <v>2.4704999999999999</v>
      </c>
      <c r="F61" s="131"/>
      <c r="G61" s="131"/>
      <c r="H61" s="131"/>
      <c r="I61" s="242" t="s">
        <v>97</v>
      </c>
      <c r="J61" s="131">
        <v>2.1894999999999998</v>
      </c>
      <c r="K61" s="131">
        <v>2.0954999999999999</v>
      </c>
      <c r="L61" s="131">
        <v>1.96</v>
      </c>
      <c r="M61" s="157"/>
      <c r="N61" s="212">
        <f t="shared" si="2"/>
        <v>0</v>
      </c>
      <c r="O61" s="217" t="e">
        <f t="shared" si="3"/>
        <v>#VALUE!</v>
      </c>
      <c r="P61" s="182" t="e">
        <f t="shared" si="4"/>
        <v>#VALUE!</v>
      </c>
      <c r="Q61" s="221" t="e">
        <f t="shared" si="5"/>
        <v>#VALUE!</v>
      </c>
      <c r="R61" s="200" t="e">
        <f t="shared" si="6"/>
        <v>#VALUE!</v>
      </c>
      <c r="S61" s="143"/>
      <c r="T61" s="130">
        <v>1.4864999999999999</v>
      </c>
      <c r="U61" s="132">
        <v>1.4864999999999999</v>
      </c>
      <c r="V61" s="132">
        <v>1.4319999999999999</v>
      </c>
      <c r="W61" s="132">
        <v>1.3839999999999999</v>
      </c>
      <c r="X61" s="131" t="s">
        <v>97</v>
      </c>
      <c r="Y61" s="131" t="s">
        <v>97</v>
      </c>
      <c r="Z61" s="131" t="s">
        <v>97</v>
      </c>
    </row>
    <row r="62" spans="1:26" ht="39" thickBot="1">
      <c r="A62" s="283"/>
      <c r="B62" s="132">
        <v>23</v>
      </c>
      <c r="C62" s="129" t="s">
        <v>116</v>
      </c>
      <c r="D62" s="129" t="s">
        <v>115</v>
      </c>
      <c r="E62" s="131">
        <v>2.4704999999999999</v>
      </c>
      <c r="F62" s="131"/>
      <c r="G62" s="131"/>
      <c r="H62" s="131"/>
      <c r="I62" s="242" t="s">
        <v>97</v>
      </c>
      <c r="J62" s="131">
        <v>2.1894999999999998</v>
      </c>
      <c r="K62" s="131">
        <v>2.0954999999999999</v>
      </c>
      <c r="L62" s="131">
        <v>1.96</v>
      </c>
      <c r="M62" s="157"/>
      <c r="N62" s="212">
        <f t="shared" si="2"/>
        <v>0</v>
      </c>
      <c r="O62" s="217" t="e">
        <f t="shared" si="3"/>
        <v>#VALUE!</v>
      </c>
      <c r="P62" s="182" t="e">
        <f t="shared" si="4"/>
        <v>#VALUE!</v>
      </c>
      <c r="Q62" s="221" t="e">
        <f t="shared" si="5"/>
        <v>#VALUE!</v>
      </c>
      <c r="R62" s="200" t="e">
        <f t="shared" si="6"/>
        <v>#VALUE!</v>
      </c>
      <c r="S62" s="143"/>
      <c r="T62" s="130">
        <v>1.4319999999999999</v>
      </c>
      <c r="U62" s="132">
        <v>1.4319999999999999</v>
      </c>
      <c r="V62" s="132">
        <v>1.375</v>
      </c>
      <c r="W62" s="132">
        <v>1.3280000000000001</v>
      </c>
      <c r="X62" s="131" t="s">
        <v>97</v>
      </c>
      <c r="Y62" s="131" t="s">
        <v>97</v>
      </c>
      <c r="Z62" s="131" t="s">
        <v>97</v>
      </c>
    </row>
    <row r="63" spans="1:26" ht="39" thickBot="1">
      <c r="A63" s="283"/>
      <c r="B63" s="132">
        <v>24</v>
      </c>
      <c r="C63" s="129" t="s">
        <v>41</v>
      </c>
      <c r="D63" s="129" t="s">
        <v>115</v>
      </c>
      <c r="E63" s="131">
        <v>2.4704999999999999</v>
      </c>
      <c r="F63" s="131"/>
      <c r="G63" s="131"/>
      <c r="H63" s="131"/>
      <c r="I63" s="246">
        <v>1.3280000000000001</v>
      </c>
      <c r="J63" s="131">
        <v>2.1894999999999998</v>
      </c>
      <c r="K63" s="131">
        <v>2.0954999999999999</v>
      </c>
      <c r="L63" s="131">
        <v>1.96</v>
      </c>
      <c r="M63" s="157">
        <f>$C$1*I63</f>
        <v>2646.7</v>
      </c>
      <c r="N63" s="212">
        <f t="shared" si="2"/>
        <v>0</v>
      </c>
      <c r="O63" s="217">
        <f t="shared" si="3"/>
        <v>2646.7</v>
      </c>
      <c r="P63" s="182">
        <f t="shared" si="4"/>
        <v>0</v>
      </c>
      <c r="Q63" s="221">
        <f t="shared" si="5"/>
        <v>2646.7</v>
      </c>
      <c r="R63" s="200">
        <f t="shared" si="6"/>
        <v>0</v>
      </c>
      <c r="S63" s="143"/>
      <c r="T63" s="130">
        <v>1.4319999999999999</v>
      </c>
      <c r="U63" s="132">
        <v>1.4319999999999999</v>
      </c>
      <c r="V63" s="132">
        <v>1.375</v>
      </c>
      <c r="W63" s="132">
        <v>1.3280000000000001</v>
      </c>
      <c r="X63" s="132">
        <v>1.3280000000000001</v>
      </c>
      <c r="Y63" s="132">
        <v>1.3280000000000001</v>
      </c>
      <c r="Z63" s="132">
        <v>1.3280000000000001</v>
      </c>
    </row>
    <row r="64" spans="1:26" ht="64.5" thickBot="1">
      <c r="A64" s="283"/>
      <c r="B64" s="132">
        <v>25</v>
      </c>
      <c r="C64" s="129" t="s">
        <v>114</v>
      </c>
      <c r="D64" s="129" t="s">
        <v>117</v>
      </c>
      <c r="E64" s="131">
        <v>2.3765000000000001</v>
      </c>
      <c r="F64" s="131"/>
      <c r="G64" s="131"/>
      <c r="H64" s="131"/>
      <c r="I64" s="242" t="s">
        <v>97</v>
      </c>
      <c r="J64" s="131">
        <v>2.1469999999999998</v>
      </c>
      <c r="K64" s="131">
        <v>2.0529999999999999</v>
      </c>
      <c r="L64" s="131">
        <v>1.9079999999999999</v>
      </c>
      <c r="M64" s="157"/>
      <c r="N64" s="212">
        <f t="shared" si="2"/>
        <v>0</v>
      </c>
      <c r="O64" s="217" t="e">
        <f t="shared" si="3"/>
        <v>#VALUE!</v>
      </c>
      <c r="P64" s="182" t="e">
        <f t="shared" si="4"/>
        <v>#VALUE!</v>
      </c>
      <c r="Q64" s="221" t="e">
        <f t="shared" si="5"/>
        <v>#VALUE!</v>
      </c>
      <c r="R64" s="200" t="e">
        <f t="shared" si="6"/>
        <v>#VALUE!</v>
      </c>
      <c r="S64" s="143"/>
      <c r="T64" s="134" t="s">
        <v>97</v>
      </c>
      <c r="U64" s="131" t="s">
        <v>97</v>
      </c>
      <c r="V64" s="131" t="s">
        <v>97</v>
      </c>
      <c r="W64" s="131" t="s">
        <v>97</v>
      </c>
      <c r="X64" s="131" t="s">
        <v>97</v>
      </c>
      <c r="Y64" s="131" t="s">
        <v>97</v>
      </c>
      <c r="Z64" s="131" t="s">
        <v>97</v>
      </c>
    </row>
    <row r="65" spans="1:26" ht="64.5" thickBot="1">
      <c r="A65" s="283"/>
      <c r="B65" s="132">
        <v>26</v>
      </c>
      <c r="C65" s="129" t="s">
        <v>116</v>
      </c>
      <c r="D65" s="129" t="s">
        <v>117</v>
      </c>
      <c r="E65" s="131">
        <v>2.3765000000000001</v>
      </c>
      <c r="F65" s="131"/>
      <c r="G65" s="131"/>
      <c r="H65" s="131"/>
      <c r="I65" s="242" t="s">
        <v>97</v>
      </c>
      <c r="J65" s="131">
        <v>2.1469999999999998</v>
      </c>
      <c r="K65" s="131">
        <v>2.0529999999999999</v>
      </c>
      <c r="L65" s="131">
        <v>1.9079999999999999</v>
      </c>
      <c r="M65" s="157"/>
      <c r="N65" s="212">
        <f t="shared" si="2"/>
        <v>0</v>
      </c>
      <c r="O65" s="217" t="e">
        <f t="shared" si="3"/>
        <v>#VALUE!</v>
      </c>
      <c r="P65" s="182" t="e">
        <f t="shared" si="4"/>
        <v>#VALUE!</v>
      </c>
      <c r="Q65" s="221" t="e">
        <f t="shared" si="5"/>
        <v>#VALUE!</v>
      </c>
      <c r="R65" s="200" t="e">
        <f t="shared" si="6"/>
        <v>#VALUE!</v>
      </c>
      <c r="S65" s="143"/>
      <c r="T65" s="134" t="s">
        <v>97</v>
      </c>
      <c r="U65" s="131" t="s">
        <v>97</v>
      </c>
      <c r="V65" s="131" t="s">
        <v>97</v>
      </c>
      <c r="W65" s="131" t="s">
        <v>97</v>
      </c>
      <c r="X65" s="131" t="s">
        <v>97</v>
      </c>
      <c r="Y65" s="131" t="s">
        <v>97</v>
      </c>
      <c r="Z65" s="131" t="s">
        <v>97</v>
      </c>
    </row>
    <row r="66" spans="1:26" ht="64.5" thickBot="1">
      <c r="A66" s="283"/>
      <c r="B66" s="132">
        <v>27</v>
      </c>
      <c r="C66" s="129" t="s">
        <v>41</v>
      </c>
      <c r="D66" s="129" t="s">
        <v>117</v>
      </c>
      <c r="E66" s="131">
        <v>2.3765000000000001</v>
      </c>
      <c r="F66" s="131"/>
      <c r="G66" s="131"/>
      <c r="H66" s="131"/>
      <c r="I66" s="242" t="s">
        <v>97</v>
      </c>
      <c r="J66" s="131">
        <v>2.1469999999999998</v>
      </c>
      <c r="K66" s="131">
        <v>2.0529999999999999</v>
      </c>
      <c r="L66" s="131">
        <v>1.9079999999999999</v>
      </c>
      <c r="M66" s="157"/>
      <c r="N66" s="212">
        <f t="shared" si="2"/>
        <v>0</v>
      </c>
      <c r="O66" s="217" t="e">
        <f t="shared" si="3"/>
        <v>#VALUE!</v>
      </c>
      <c r="P66" s="182" t="e">
        <f t="shared" si="4"/>
        <v>#VALUE!</v>
      </c>
      <c r="Q66" s="221" t="e">
        <f t="shared" si="5"/>
        <v>#VALUE!</v>
      </c>
      <c r="R66" s="200" t="e">
        <f t="shared" si="6"/>
        <v>#VALUE!</v>
      </c>
      <c r="S66" s="143"/>
      <c r="T66" s="134" t="s">
        <v>97</v>
      </c>
      <c r="U66" s="131" t="s">
        <v>97</v>
      </c>
      <c r="V66" s="131" t="s">
        <v>97</v>
      </c>
      <c r="W66" s="131" t="s">
        <v>97</v>
      </c>
      <c r="X66" s="131" t="s">
        <v>97</v>
      </c>
      <c r="Y66" s="131" t="s">
        <v>97</v>
      </c>
      <c r="Z66" s="131" t="s">
        <v>97</v>
      </c>
    </row>
    <row r="67" spans="1:26" ht="39" thickBot="1">
      <c r="A67" s="287">
        <f>SUM(F67:F70)</f>
        <v>4</v>
      </c>
      <c r="B67" s="132">
        <v>28</v>
      </c>
      <c r="C67" s="129" t="s">
        <v>2</v>
      </c>
      <c r="D67" s="129" t="s">
        <v>118</v>
      </c>
      <c r="E67" s="131">
        <v>2.0979999999999999</v>
      </c>
      <c r="F67" s="131"/>
      <c r="G67" s="131"/>
      <c r="H67" s="131"/>
      <c r="I67" s="246">
        <v>1.1775</v>
      </c>
      <c r="J67" s="131">
        <v>1.885</v>
      </c>
      <c r="K67" s="131">
        <v>1.798</v>
      </c>
      <c r="L67" s="131">
        <v>1.6635</v>
      </c>
      <c r="M67" s="157">
        <f t="shared" ref="M67:M73" si="7">$C$1*I67</f>
        <v>2346.7600000000002</v>
      </c>
      <c r="N67" s="212">
        <f t="shared" si="2"/>
        <v>0</v>
      </c>
      <c r="O67" s="217">
        <f t="shared" si="3"/>
        <v>2346.7600000000002</v>
      </c>
      <c r="P67" s="182">
        <f t="shared" si="4"/>
        <v>0</v>
      </c>
      <c r="Q67" s="221">
        <f t="shared" si="5"/>
        <v>2346.7600000000002</v>
      </c>
      <c r="R67" s="200">
        <f t="shared" si="6"/>
        <v>0</v>
      </c>
      <c r="S67" s="143"/>
      <c r="T67" s="130">
        <v>1.2575000000000001</v>
      </c>
      <c r="U67" s="132">
        <v>1.2575000000000001</v>
      </c>
      <c r="V67" s="132">
        <v>1.214</v>
      </c>
      <c r="W67" s="132">
        <v>1.1775</v>
      </c>
      <c r="X67" s="132">
        <v>1.1775</v>
      </c>
      <c r="Y67" s="132">
        <v>1.1775</v>
      </c>
      <c r="Z67" s="132">
        <v>1.1775</v>
      </c>
    </row>
    <row r="68" spans="1:26" ht="39" thickBot="1">
      <c r="A68" s="287"/>
      <c r="B68" s="132">
        <v>29</v>
      </c>
      <c r="C68" s="129" t="s">
        <v>3</v>
      </c>
      <c r="D68" s="129" t="s">
        <v>118</v>
      </c>
      <c r="E68" s="131">
        <v>1.837</v>
      </c>
      <c r="F68" s="131">
        <v>4</v>
      </c>
      <c r="G68" s="131"/>
      <c r="H68" s="131"/>
      <c r="I68" s="246">
        <v>1.163</v>
      </c>
      <c r="J68" s="131">
        <v>1.6635</v>
      </c>
      <c r="K68" s="131">
        <v>1.5760000000000001</v>
      </c>
      <c r="L68" s="131">
        <v>1.49</v>
      </c>
      <c r="M68" s="157">
        <f t="shared" si="7"/>
        <v>2317.86</v>
      </c>
      <c r="N68" s="212">
        <f>F68*M68</f>
        <v>9271.44</v>
      </c>
      <c r="O68" s="217">
        <f t="shared" si="3"/>
        <v>2317.86</v>
      </c>
      <c r="P68" s="182">
        <f t="shared" si="4"/>
        <v>0</v>
      </c>
      <c r="Q68" s="221">
        <f t="shared" si="5"/>
        <v>2317.86</v>
      </c>
      <c r="R68" s="200">
        <f t="shared" si="6"/>
        <v>0</v>
      </c>
      <c r="S68" s="143"/>
      <c r="T68" s="130">
        <v>1.163</v>
      </c>
      <c r="U68" s="132">
        <v>1.163</v>
      </c>
      <c r="V68" s="132">
        <v>1.163</v>
      </c>
      <c r="W68" s="132">
        <v>1.163</v>
      </c>
      <c r="X68" s="132">
        <v>1.163</v>
      </c>
      <c r="Y68" s="132">
        <v>1.163</v>
      </c>
      <c r="Z68" s="132"/>
    </row>
    <row r="69" spans="1:26" ht="64.5" thickBot="1">
      <c r="A69" s="287"/>
      <c r="B69" s="132">
        <v>30</v>
      </c>
      <c r="C69" s="129" t="s">
        <v>2</v>
      </c>
      <c r="D69" s="129" t="s">
        <v>119</v>
      </c>
      <c r="E69" s="131">
        <v>2.0110000000000001</v>
      </c>
      <c r="F69" s="131"/>
      <c r="G69" s="131"/>
      <c r="H69" s="131"/>
      <c r="I69" s="246">
        <v>1.1545000000000001</v>
      </c>
      <c r="J69" s="131">
        <v>1.837</v>
      </c>
      <c r="K69" s="131">
        <v>1.7110000000000001</v>
      </c>
      <c r="L69" s="131">
        <v>1.5760000000000001</v>
      </c>
      <c r="M69" s="157">
        <f t="shared" si="7"/>
        <v>2300.92</v>
      </c>
      <c r="N69" s="212">
        <f t="shared" si="2"/>
        <v>0</v>
      </c>
      <c r="O69" s="217">
        <f t="shared" si="3"/>
        <v>2300.92</v>
      </c>
      <c r="P69" s="182">
        <f t="shared" si="4"/>
        <v>0</v>
      </c>
      <c r="Q69" s="221">
        <f t="shared" si="5"/>
        <v>2300.92</v>
      </c>
      <c r="R69" s="200">
        <f t="shared" si="6"/>
        <v>0</v>
      </c>
      <c r="S69" s="143"/>
      <c r="T69" s="130">
        <v>1.1545000000000001</v>
      </c>
      <c r="U69" s="132">
        <v>1.1545000000000001</v>
      </c>
      <c r="V69" s="132">
        <v>1.1545000000000001</v>
      </c>
      <c r="W69" s="132">
        <v>1.1545000000000001</v>
      </c>
      <c r="X69" s="132">
        <v>1.1545000000000001</v>
      </c>
      <c r="Y69" s="132">
        <v>1.1545000000000001</v>
      </c>
      <c r="Z69" s="131" t="s">
        <v>97</v>
      </c>
    </row>
    <row r="70" spans="1:26" ht="64.5" thickBot="1">
      <c r="A70" s="287"/>
      <c r="B70" s="132">
        <v>31</v>
      </c>
      <c r="C70" s="129" t="s">
        <v>3</v>
      </c>
      <c r="D70" s="129" t="s">
        <v>119</v>
      </c>
      <c r="E70" s="131">
        <v>1.798</v>
      </c>
      <c r="F70" s="131"/>
      <c r="G70" s="131"/>
      <c r="H70" s="131"/>
      <c r="I70" s="246">
        <v>1.1485000000000001</v>
      </c>
      <c r="J70" s="131">
        <v>1.6234999999999999</v>
      </c>
      <c r="K70" s="131">
        <v>1.5375000000000001</v>
      </c>
      <c r="L70" s="131">
        <v>1.4504999999999999</v>
      </c>
      <c r="M70" s="157">
        <f t="shared" si="7"/>
        <v>2288.96</v>
      </c>
      <c r="N70" s="212">
        <f t="shared" si="2"/>
        <v>0</v>
      </c>
      <c r="O70" s="217">
        <f t="shared" si="3"/>
        <v>2288.96</v>
      </c>
      <c r="P70" s="182">
        <f t="shared" si="4"/>
        <v>0</v>
      </c>
      <c r="Q70" s="221">
        <f t="shared" si="5"/>
        <v>2288.96</v>
      </c>
      <c r="R70" s="200">
        <f t="shared" si="6"/>
        <v>0</v>
      </c>
      <c r="S70" s="143"/>
      <c r="T70" s="130">
        <v>1.1485000000000001</v>
      </c>
      <c r="U70" s="132">
        <v>1.1485000000000001</v>
      </c>
      <c r="V70" s="132">
        <v>1.1485000000000001</v>
      </c>
      <c r="W70" s="132">
        <v>1.1485000000000001</v>
      </c>
      <c r="X70" s="132">
        <v>1.1485000000000001</v>
      </c>
      <c r="Y70" s="132">
        <v>1.1485000000000001</v>
      </c>
      <c r="Z70" s="131" t="s">
        <v>97</v>
      </c>
    </row>
    <row r="71" spans="1:26" ht="64.5" thickBot="1">
      <c r="A71" s="288">
        <f>SUM(F71:F73)</f>
        <v>0</v>
      </c>
      <c r="B71" s="132">
        <v>32</v>
      </c>
      <c r="C71" s="129" t="s">
        <v>4</v>
      </c>
      <c r="D71" s="129" t="s">
        <v>120</v>
      </c>
      <c r="E71" s="131">
        <v>1.5115000000000001</v>
      </c>
      <c r="F71" s="131"/>
      <c r="G71" s="131"/>
      <c r="H71" s="131"/>
      <c r="I71" s="246">
        <v>1.0349999999999999</v>
      </c>
      <c r="J71" s="131">
        <v>1.385</v>
      </c>
      <c r="K71" s="131">
        <v>1.3025</v>
      </c>
      <c r="L71" s="131">
        <v>1.2645</v>
      </c>
      <c r="M71" s="157">
        <f t="shared" si="7"/>
        <v>2062.7600000000002</v>
      </c>
      <c r="N71" s="212">
        <f t="shared" si="2"/>
        <v>0</v>
      </c>
      <c r="O71" s="217">
        <f t="shared" si="3"/>
        <v>2062.7600000000002</v>
      </c>
      <c r="P71" s="182">
        <f t="shared" si="4"/>
        <v>0</v>
      </c>
      <c r="Q71" s="221">
        <f t="shared" si="5"/>
        <v>2062.7600000000002</v>
      </c>
      <c r="R71" s="200">
        <f t="shared" si="6"/>
        <v>0</v>
      </c>
      <c r="S71" s="143"/>
      <c r="T71" s="130">
        <v>1.0349999999999999</v>
      </c>
      <c r="U71" s="132">
        <v>1.0349999999999999</v>
      </c>
      <c r="V71" s="132">
        <v>1.0349999999999999</v>
      </c>
      <c r="W71" s="132">
        <v>1.0349999999999999</v>
      </c>
      <c r="X71" s="132">
        <v>1.0349999999999999</v>
      </c>
      <c r="Y71" s="132">
        <v>1.0349999999999999</v>
      </c>
      <c r="Z71" s="132">
        <v>1.0349999999999999</v>
      </c>
    </row>
    <row r="72" spans="1:26" ht="64.5" thickBot="1">
      <c r="A72" s="288"/>
      <c r="B72" s="132">
        <v>33</v>
      </c>
      <c r="C72" s="129" t="s">
        <v>6</v>
      </c>
      <c r="D72" s="129" t="s">
        <v>120</v>
      </c>
      <c r="E72" s="131">
        <v>1.2725</v>
      </c>
      <c r="F72" s="131"/>
      <c r="G72" s="131"/>
      <c r="H72" s="131"/>
      <c r="I72" s="246">
        <v>1.0209999999999999</v>
      </c>
      <c r="J72" s="131">
        <v>1.1599999999999999</v>
      </c>
      <c r="K72" s="131">
        <v>1.115</v>
      </c>
      <c r="L72" s="131">
        <v>1.115</v>
      </c>
      <c r="M72" s="157">
        <f t="shared" si="7"/>
        <v>2034.85</v>
      </c>
      <c r="N72" s="212">
        <f t="shared" si="2"/>
        <v>0</v>
      </c>
      <c r="O72" s="217">
        <f t="shared" si="3"/>
        <v>2034.85</v>
      </c>
      <c r="P72" s="182">
        <f t="shared" si="4"/>
        <v>0</v>
      </c>
      <c r="Q72" s="221">
        <f t="shared" si="5"/>
        <v>2034.85</v>
      </c>
      <c r="R72" s="200">
        <f t="shared" si="6"/>
        <v>0</v>
      </c>
      <c r="S72" s="143"/>
      <c r="T72" s="130">
        <v>1.0209999999999999</v>
      </c>
      <c r="U72" s="132">
        <v>1.0209999999999999</v>
      </c>
      <c r="V72" s="132">
        <v>1.0209999999999999</v>
      </c>
      <c r="W72" s="132">
        <v>1.0209999999999999</v>
      </c>
      <c r="X72" s="132">
        <v>1.0209999999999999</v>
      </c>
      <c r="Y72" s="132">
        <v>1.0209999999999999</v>
      </c>
      <c r="Z72" s="132">
        <v>1.0209999999999999</v>
      </c>
    </row>
    <row r="73" spans="1:26" ht="64.5" thickBot="1">
      <c r="A73" s="288"/>
      <c r="B73" s="132">
        <v>34</v>
      </c>
      <c r="C73" s="129" t="s">
        <v>5</v>
      </c>
      <c r="D73" s="129" t="s">
        <v>120</v>
      </c>
      <c r="E73" s="131">
        <v>1.115</v>
      </c>
      <c r="F73" s="131"/>
      <c r="G73" s="131"/>
      <c r="H73" s="131"/>
      <c r="I73" s="246">
        <v>1</v>
      </c>
      <c r="J73" s="131">
        <v>1.115</v>
      </c>
      <c r="K73" s="131">
        <v>1.115</v>
      </c>
      <c r="L73" s="131">
        <v>1.115</v>
      </c>
      <c r="M73" s="157">
        <f t="shared" si="7"/>
        <v>1993</v>
      </c>
      <c r="N73" s="212">
        <f t="shared" si="2"/>
        <v>0</v>
      </c>
      <c r="O73" s="217">
        <f t="shared" si="3"/>
        <v>1993</v>
      </c>
      <c r="P73" s="182">
        <f t="shared" si="4"/>
        <v>0</v>
      </c>
      <c r="Q73" s="221">
        <f t="shared" si="5"/>
        <v>1993</v>
      </c>
      <c r="R73" s="200">
        <f t="shared" si="6"/>
        <v>0</v>
      </c>
      <c r="S73" s="143"/>
      <c r="T73" s="130">
        <v>1</v>
      </c>
      <c r="U73" s="132">
        <v>1</v>
      </c>
      <c r="V73" s="132">
        <v>1</v>
      </c>
      <c r="W73" s="132">
        <v>1</v>
      </c>
      <c r="X73" s="132">
        <v>1</v>
      </c>
      <c r="Y73" s="132">
        <v>1</v>
      </c>
      <c r="Z73" s="132">
        <v>1</v>
      </c>
    </row>
    <row r="74" spans="1:26" ht="26.25" thickBot="1">
      <c r="B74" s="289"/>
      <c r="C74" s="133" t="s">
        <v>149</v>
      </c>
      <c r="D74" s="133"/>
      <c r="E74" s="133"/>
      <c r="F74" s="133"/>
      <c r="G74" s="133"/>
      <c r="H74" s="133"/>
      <c r="I74" s="247"/>
      <c r="J74" s="133"/>
      <c r="K74" s="133"/>
      <c r="L74" s="133"/>
      <c r="M74" s="159"/>
      <c r="N74" s="161"/>
      <c r="O74" s="187"/>
      <c r="P74" s="188"/>
      <c r="Q74" s="206"/>
      <c r="R74" s="207"/>
      <c r="S74" s="145"/>
      <c r="T74" s="133"/>
      <c r="U74" s="133"/>
      <c r="V74" s="133"/>
      <c r="W74" s="133"/>
      <c r="X74" s="133"/>
      <c r="Y74" s="133"/>
      <c r="Z74" s="129"/>
    </row>
    <row r="75" spans="1:26" ht="13.5" thickBot="1">
      <c r="B75" s="290"/>
      <c r="C75" s="292" t="s">
        <v>150</v>
      </c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4"/>
    </row>
    <row r="76" spans="1:26" ht="13.5" thickBot="1">
      <c r="B76" s="291"/>
      <c r="C76" s="292" t="s">
        <v>151</v>
      </c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4"/>
    </row>
    <row r="77" spans="1:26" ht="13.5" thickBot="1">
      <c r="B77" s="136"/>
      <c r="C77" s="268" t="s">
        <v>152</v>
      </c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95"/>
    </row>
    <row r="78" spans="1:26" ht="13.5" thickBot="1">
      <c r="B78" s="273" t="s">
        <v>173</v>
      </c>
      <c r="C78" s="274"/>
      <c r="D78" s="275"/>
      <c r="E78" s="165"/>
      <c r="F78" s="165">
        <f>SUM(F79:F95)</f>
        <v>0</v>
      </c>
      <c r="G78" s="165"/>
      <c r="H78" s="165"/>
      <c r="I78" s="243"/>
      <c r="J78" s="165">
        <f>SUM(J79:J95)</f>
        <v>36.093000000000004</v>
      </c>
      <c r="K78" s="165">
        <f>SUM(K79:K95)</f>
        <v>34.278500000000001</v>
      </c>
      <c r="L78" s="165">
        <f>SUM(L79:L95)</f>
        <v>32.215499999999999</v>
      </c>
      <c r="M78" s="165"/>
      <c r="N78" s="166">
        <f>SUM(N79:N95)</f>
        <v>0</v>
      </c>
      <c r="O78" s="184"/>
      <c r="P78" s="185">
        <f>SUM(P79:P95)</f>
        <v>0</v>
      </c>
      <c r="Q78" s="202"/>
      <c r="R78" s="203">
        <f>SUM(R79:R95)</f>
        <v>0</v>
      </c>
      <c r="S78" s="152"/>
      <c r="T78" s="151"/>
      <c r="U78" s="151"/>
      <c r="V78" s="151"/>
      <c r="W78" s="151"/>
      <c r="X78" s="151"/>
      <c r="Y78" s="151"/>
      <c r="Z78" s="151"/>
    </row>
    <row r="79" spans="1:26" ht="39" thickBot="1">
      <c r="B79" s="130">
        <v>1</v>
      </c>
      <c r="C79" s="129" t="s">
        <v>153</v>
      </c>
      <c r="D79" s="129" t="s">
        <v>103</v>
      </c>
      <c r="E79" s="131">
        <v>4.5380000000000003</v>
      </c>
      <c r="F79" s="131"/>
      <c r="G79" s="131"/>
      <c r="H79" s="131"/>
      <c r="I79" s="242">
        <v>2.0649999999999999</v>
      </c>
      <c r="J79" s="131">
        <v>4.0824999999999996</v>
      </c>
      <c r="K79" s="131">
        <v>3.855</v>
      </c>
      <c r="L79" s="131">
        <v>3.6265000000000001</v>
      </c>
      <c r="M79" s="157">
        <f>$C$1*I79</f>
        <v>4115.55</v>
      </c>
      <c r="N79" s="162">
        <f>F79*M79</f>
        <v>0</v>
      </c>
      <c r="O79" s="186"/>
      <c r="P79" s="182"/>
      <c r="Q79" s="204"/>
      <c r="R79" s="200"/>
      <c r="S79" s="143"/>
      <c r="T79" s="134">
        <v>2.6475</v>
      </c>
      <c r="U79" s="131">
        <v>2.6475</v>
      </c>
      <c r="V79" s="131">
        <v>2.4710000000000001</v>
      </c>
      <c r="W79" s="131">
        <v>2.2414999999999998</v>
      </c>
      <c r="X79" s="131">
        <v>2.1800000000000002</v>
      </c>
      <c r="Y79" s="131">
        <v>2.0649999999999999</v>
      </c>
      <c r="Z79" s="131">
        <v>1.7575000000000001</v>
      </c>
    </row>
    <row r="80" spans="1:26" ht="39" thickBot="1">
      <c r="B80" s="130">
        <v>2</v>
      </c>
      <c r="C80" s="129" t="s">
        <v>154</v>
      </c>
      <c r="D80" s="129" t="s">
        <v>106</v>
      </c>
      <c r="E80" s="131">
        <v>3.536</v>
      </c>
      <c r="F80" s="131"/>
      <c r="G80" s="131"/>
      <c r="H80" s="131"/>
      <c r="I80" s="242">
        <v>1.7569999999999999</v>
      </c>
      <c r="J80" s="131">
        <v>3.5234999999999999</v>
      </c>
      <c r="K80" s="131">
        <v>3.3165</v>
      </c>
      <c r="L80" s="131">
        <v>3.1575000000000002</v>
      </c>
      <c r="M80" s="157">
        <f>$C$1*I80</f>
        <v>3501.7</v>
      </c>
      <c r="N80" s="162">
        <f t="shared" ref="N80:N95" si="8">F80*M80</f>
        <v>0</v>
      </c>
      <c r="O80" s="186"/>
      <c r="P80" s="182"/>
      <c r="Q80" s="204"/>
      <c r="R80" s="200"/>
      <c r="S80" s="143"/>
      <c r="T80" s="134">
        <v>2.4445000000000001</v>
      </c>
      <c r="U80" s="131">
        <v>2.4445000000000001</v>
      </c>
      <c r="V80" s="131">
        <v>2.1869999999999998</v>
      </c>
      <c r="W80" s="131">
        <v>1.9850000000000001</v>
      </c>
      <c r="X80" s="131">
        <v>1.9105000000000001</v>
      </c>
      <c r="Y80" s="131">
        <v>1.7569999999999999</v>
      </c>
      <c r="Z80" s="131">
        <v>1.4735</v>
      </c>
    </row>
    <row r="81" spans="2:26" ht="39" thickBot="1">
      <c r="B81" s="130">
        <v>3</v>
      </c>
      <c r="C81" s="129" t="s">
        <v>155</v>
      </c>
      <c r="D81" s="129" t="s">
        <v>106</v>
      </c>
      <c r="E81" s="131">
        <v>3.597</v>
      </c>
      <c r="F81" s="131"/>
      <c r="G81" s="131"/>
      <c r="H81" s="131"/>
      <c r="I81" s="242">
        <v>1.6339999999999999</v>
      </c>
      <c r="J81" s="131">
        <v>3.2909999999999999</v>
      </c>
      <c r="K81" s="131">
        <v>3.11</v>
      </c>
      <c r="L81" s="131">
        <v>2.9504999999999999</v>
      </c>
      <c r="M81" s="157">
        <f>$C$1*I81</f>
        <v>3256.56</v>
      </c>
      <c r="N81" s="162">
        <f t="shared" si="8"/>
        <v>0</v>
      </c>
      <c r="O81" s="186"/>
      <c r="P81" s="182"/>
      <c r="Q81" s="204"/>
      <c r="R81" s="200"/>
      <c r="S81" s="143"/>
      <c r="T81" s="134">
        <v>2.2345000000000002</v>
      </c>
      <c r="U81" s="131">
        <v>2.2345000000000002</v>
      </c>
      <c r="V81" s="131">
        <v>2.0859999999999999</v>
      </c>
      <c r="W81" s="131">
        <v>1.9105000000000001</v>
      </c>
      <c r="X81" s="131">
        <v>1.7955000000000001</v>
      </c>
      <c r="Y81" s="131">
        <v>1.6339999999999999</v>
      </c>
      <c r="Z81" s="131">
        <v>1.4450000000000001</v>
      </c>
    </row>
    <row r="82" spans="2:26" ht="39" thickBot="1">
      <c r="B82" s="130">
        <v>4</v>
      </c>
      <c r="C82" s="129" t="s">
        <v>107</v>
      </c>
      <c r="D82" s="129" t="s">
        <v>106</v>
      </c>
      <c r="E82" s="131">
        <v>3.57</v>
      </c>
      <c r="F82" s="131"/>
      <c r="G82" s="131"/>
      <c r="H82" s="131"/>
      <c r="I82" s="242" t="s">
        <v>156</v>
      </c>
      <c r="J82" s="131">
        <v>3.2134999999999998</v>
      </c>
      <c r="K82" s="131">
        <v>3.0074999999999998</v>
      </c>
      <c r="L82" s="131">
        <v>2.8475000000000001</v>
      </c>
      <c r="M82" s="157"/>
      <c r="N82" s="162">
        <f t="shared" si="8"/>
        <v>0</v>
      </c>
      <c r="O82" s="186"/>
      <c r="P82" s="182"/>
      <c r="Q82" s="204"/>
      <c r="R82" s="200"/>
      <c r="S82" s="143"/>
      <c r="T82" s="134" t="s">
        <v>156</v>
      </c>
      <c r="U82" s="131" t="s">
        <v>156</v>
      </c>
      <c r="V82" s="131" t="s">
        <v>156</v>
      </c>
      <c r="W82" s="131" t="s">
        <v>156</v>
      </c>
      <c r="X82" s="131" t="s">
        <v>156</v>
      </c>
      <c r="Y82" s="131" t="s">
        <v>156</v>
      </c>
      <c r="Z82" s="131" t="s">
        <v>156</v>
      </c>
    </row>
    <row r="83" spans="2:26" ht="39" thickBot="1">
      <c r="B83" s="130">
        <v>5</v>
      </c>
      <c r="C83" s="129" t="s">
        <v>157</v>
      </c>
      <c r="D83" s="129" t="s">
        <v>143</v>
      </c>
      <c r="E83" s="131">
        <v>2.7570000000000001</v>
      </c>
      <c r="F83" s="131"/>
      <c r="G83" s="131"/>
      <c r="H83" s="131"/>
      <c r="I83" s="242">
        <v>1.4735</v>
      </c>
      <c r="J83" s="131">
        <v>2.6404999999999998</v>
      </c>
      <c r="K83" s="131">
        <v>2.5375000000000001</v>
      </c>
      <c r="L83" s="131">
        <v>2.2229999999999999</v>
      </c>
      <c r="M83" s="157">
        <f>$C$1*I83</f>
        <v>2936.69</v>
      </c>
      <c r="N83" s="162">
        <f t="shared" si="8"/>
        <v>0</v>
      </c>
      <c r="O83" s="186"/>
      <c r="P83" s="182"/>
      <c r="Q83" s="204"/>
      <c r="R83" s="200"/>
      <c r="S83" s="143"/>
      <c r="T83" s="134">
        <v>1.9724999999999999</v>
      </c>
      <c r="U83" s="131">
        <v>1.9724999999999999</v>
      </c>
      <c r="V83" s="131">
        <v>1.095</v>
      </c>
      <c r="W83" s="131">
        <v>1.7555000000000001</v>
      </c>
      <c r="X83" s="131">
        <v>1.6739999999999999</v>
      </c>
      <c r="Y83" s="131">
        <v>1.4735</v>
      </c>
      <c r="Z83" s="131">
        <v>1.4105000000000001</v>
      </c>
    </row>
    <row r="84" spans="2:26" ht="39" thickBot="1">
      <c r="B84" s="130">
        <v>6</v>
      </c>
      <c r="C84" s="129" t="s">
        <v>148</v>
      </c>
      <c r="D84" s="129" t="s">
        <v>112</v>
      </c>
      <c r="E84" s="131" t="s">
        <v>97</v>
      </c>
      <c r="F84" s="131"/>
      <c r="G84" s="131"/>
      <c r="H84" s="131"/>
      <c r="I84" s="242" t="s">
        <v>97</v>
      </c>
      <c r="J84" s="131" t="s">
        <v>97</v>
      </c>
      <c r="K84" s="131" t="s">
        <v>97</v>
      </c>
      <c r="L84" s="131" t="s">
        <v>97</v>
      </c>
      <c r="M84" s="157"/>
      <c r="N84" s="162"/>
      <c r="O84" s="186"/>
      <c r="P84" s="182"/>
      <c r="Q84" s="204"/>
      <c r="R84" s="200"/>
      <c r="S84" s="143"/>
      <c r="T84" s="134">
        <v>1.9724999999999999</v>
      </c>
      <c r="U84" s="131">
        <v>1.9724999999999999</v>
      </c>
      <c r="V84" s="131">
        <v>1.849</v>
      </c>
      <c r="W84" s="131">
        <v>1.6910000000000001</v>
      </c>
      <c r="X84" s="131" t="s">
        <v>97</v>
      </c>
      <c r="Y84" s="131" t="s">
        <v>97</v>
      </c>
      <c r="Z84" s="131" t="s">
        <v>97</v>
      </c>
    </row>
    <row r="85" spans="2:26" ht="39" thickBot="1">
      <c r="B85" s="130">
        <v>7</v>
      </c>
      <c r="C85" s="129" t="s">
        <v>114</v>
      </c>
      <c r="D85" s="129" t="s">
        <v>115</v>
      </c>
      <c r="E85" s="131">
        <v>2.4704999999999999</v>
      </c>
      <c r="F85" s="131"/>
      <c r="G85" s="131"/>
      <c r="H85" s="131"/>
      <c r="I85" s="242" t="s">
        <v>97</v>
      </c>
      <c r="J85" s="131">
        <v>2.1894999999999998</v>
      </c>
      <c r="K85" s="131">
        <v>2.0954999999999999</v>
      </c>
      <c r="L85" s="131">
        <v>1.96</v>
      </c>
      <c r="M85" s="157"/>
      <c r="N85" s="162">
        <f t="shared" si="8"/>
        <v>0</v>
      </c>
      <c r="O85" s="186"/>
      <c r="P85" s="182"/>
      <c r="Q85" s="204"/>
      <c r="R85" s="200"/>
      <c r="S85" s="143"/>
      <c r="T85" s="134">
        <v>1.4864999999999999</v>
      </c>
      <c r="U85" s="131">
        <v>1.4864999999999999</v>
      </c>
      <c r="V85" s="131" t="s">
        <v>97</v>
      </c>
      <c r="W85" s="131" t="s">
        <v>97</v>
      </c>
      <c r="X85" s="131" t="s">
        <v>97</v>
      </c>
      <c r="Y85" s="131" t="s">
        <v>97</v>
      </c>
      <c r="Z85" s="131" t="s">
        <v>97</v>
      </c>
    </row>
    <row r="86" spans="2:26" ht="39" thickBot="1">
      <c r="B86" s="130">
        <v>8</v>
      </c>
      <c r="C86" s="129" t="s">
        <v>116</v>
      </c>
      <c r="D86" s="129" t="s">
        <v>115</v>
      </c>
      <c r="E86" s="131">
        <v>2.4704999999999999</v>
      </c>
      <c r="F86" s="131"/>
      <c r="G86" s="131"/>
      <c r="H86" s="131"/>
      <c r="I86" s="242" t="s">
        <v>97</v>
      </c>
      <c r="J86" s="131">
        <v>2.1894999999999998</v>
      </c>
      <c r="K86" s="131">
        <v>2.0954999999999999</v>
      </c>
      <c r="L86" s="131">
        <v>1.96</v>
      </c>
      <c r="M86" s="157"/>
      <c r="N86" s="162">
        <f t="shared" si="8"/>
        <v>0</v>
      </c>
      <c r="O86" s="186"/>
      <c r="P86" s="182"/>
      <c r="Q86" s="204"/>
      <c r="R86" s="200"/>
      <c r="S86" s="143"/>
      <c r="T86" s="134">
        <v>1.4319999999999999</v>
      </c>
      <c r="U86" s="131">
        <v>1.4319999999999999</v>
      </c>
      <c r="V86" s="131" t="s">
        <v>97</v>
      </c>
      <c r="W86" s="131" t="s">
        <v>97</v>
      </c>
      <c r="X86" s="131" t="s">
        <v>97</v>
      </c>
      <c r="Y86" s="131" t="s">
        <v>97</v>
      </c>
      <c r="Z86" s="131" t="s">
        <v>97</v>
      </c>
    </row>
    <row r="87" spans="2:26" ht="64.5" thickBot="1">
      <c r="B87" s="130">
        <v>9</v>
      </c>
      <c r="C87" s="129" t="s">
        <v>114</v>
      </c>
      <c r="D87" s="129" t="s">
        <v>117</v>
      </c>
      <c r="E87" s="131">
        <v>2.3765000000000001</v>
      </c>
      <c r="F87" s="131"/>
      <c r="G87" s="131"/>
      <c r="H87" s="131"/>
      <c r="I87" s="242" t="s">
        <v>97</v>
      </c>
      <c r="J87" s="131">
        <v>2.1469999999999998</v>
      </c>
      <c r="K87" s="131">
        <v>2.0529999999999999</v>
      </c>
      <c r="L87" s="131">
        <v>1.9079999999999999</v>
      </c>
      <c r="M87" s="157"/>
      <c r="N87" s="162">
        <f t="shared" si="8"/>
        <v>0</v>
      </c>
      <c r="O87" s="186"/>
      <c r="P87" s="182"/>
      <c r="Q87" s="204"/>
      <c r="R87" s="200"/>
      <c r="S87" s="143"/>
      <c r="T87" s="134" t="s">
        <v>97</v>
      </c>
      <c r="U87" s="131" t="s">
        <v>97</v>
      </c>
      <c r="V87" s="131" t="s">
        <v>97</v>
      </c>
      <c r="W87" s="131" t="s">
        <v>97</v>
      </c>
      <c r="X87" s="131" t="s">
        <v>97</v>
      </c>
      <c r="Y87" s="131" t="s">
        <v>97</v>
      </c>
      <c r="Z87" s="131" t="s">
        <v>97</v>
      </c>
    </row>
    <row r="88" spans="2:26" ht="64.5" thickBot="1">
      <c r="B88" s="130">
        <v>10</v>
      </c>
      <c r="C88" s="129" t="s">
        <v>116</v>
      </c>
      <c r="D88" s="129" t="s">
        <v>117</v>
      </c>
      <c r="E88" s="131">
        <v>2.3765000000000001</v>
      </c>
      <c r="F88" s="131"/>
      <c r="G88" s="131"/>
      <c r="H88" s="131"/>
      <c r="I88" s="242" t="s">
        <v>97</v>
      </c>
      <c r="J88" s="131">
        <v>2.1469999999999998</v>
      </c>
      <c r="K88" s="131">
        <v>2.0529999999999999</v>
      </c>
      <c r="L88" s="131">
        <v>1.9079999999999999</v>
      </c>
      <c r="M88" s="157"/>
      <c r="N88" s="162">
        <f t="shared" si="8"/>
        <v>0</v>
      </c>
      <c r="O88" s="186"/>
      <c r="P88" s="182"/>
      <c r="Q88" s="204"/>
      <c r="R88" s="200"/>
      <c r="S88" s="143"/>
      <c r="T88" s="134" t="s">
        <v>97</v>
      </c>
      <c r="U88" s="131" t="s">
        <v>97</v>
      </c>
      <c r="V88" s="131" t="s">
        <v>97</v>
      </c>
      <c r="W88" s="131" t="s">
        <v>97</v>
      </c>
      <c r="X88" s="131" t="s">
        <v>97</v>
      </c>
      <c r="Y88" s="131" t="s">
        <v>97</v>
      </c>
      <c r="Z88" s="131" t="s">
        <v>97</v>
      </c>
    </row>
    <row r="89" spans="2:26" ht="39" thickBot="1">
      <c r="B89" s="130">
        <v>11</v>
      </c>
      <c r="C89" s="129" t="s">
        <v>2</v>
      </c>
      <c r="D89" s="129" t="s">
        <v>118</v>
      </c>
      <c r="E89" s="135">
        <v>2.0979999999999999</v>
      </c>
      <c r="F89" s="135"/>
      <c r="G89" s="135"/>
      <c r="H89" s="135"/>
      <c r="I89" s="242" t="s">
        <v>97</v>
      </c>
      <c r="J89" s="131">
        <v>1.885</v>
      </c>
      <c r="K89" s="131">
        <v>1.798</v>
      </c>
      <c r="L89" s="131">
        <v>1.6635</v>
      </c>
      <c r="M89" s="157"/>
      <c r="N89" s="162">
        <f t="shared" si="8"/>
        <v>0</v>
      </c>
      <c r="O89" s="186"/>
      <c r="P89" s="182"/>
      <c r="Q89" s="204"/>
      <c r="R89" s="200"/>
      <c r="S89" s="143"/>
      <c r="T89" s="134">
        <v>1.2575000000000001</v>
      </c>
      <c r="U89" s="131">
        <v>1.2575000000000001</v>
      </c>
      <c r="V89" s="131">
        <v>1.214</v>
      </c>
      <c r="W89" s="131">
        <v>1.1775</v>
      </c>
      <c r="X89" s="131" t="s">
        <v>97</v>
      </c>
      <c r="Y89" s="131" t="s">
        <v>97</v>
      </c>
      <c r="Z89" s="131" t="s">
        <v>97</v>
      </c>
    </row>
    <row r="90" spans="2:26" ht="39" thickBot="1">
      <c r="B90" s="130">
        <v>12</v>
      </c>
      <c r="C90" s="129" t="s">
        <v>3</v>
      </c>
      <c r="D90" s="129" t="s">
        <v>118</v>
      </c>
      <c r="E90" s="135">
        <v>1.837</v>
      </c>
      <c r="F90" s="135"/>
      <c r="G90" s="135"/>
      <c r="H90" s="135"/>
      <c r="I90" s="242" t="s">
        <v>97</v>
      </c>
      <c r="J90" s="131">
        <v>1.6635</v>
      </c>
      <c r="K90" s="131">
        <v>1.5760000000000001</v>
      </c>
      <c r="L90" s="131">
        <v>1.49</v>
      </c>
      <c r="M90" s="157"/>
      <c r="N90" s="162">
        <f t="shared" si="8"/>
        <v>0</v>
      </c>
      <c r="O90" s="186"/>
      <c r="P90" s="182"/>
      <c r="Q90" s="204"/>
      <c r="R90" s="200"/>
      <c r="S90" s="143"/>
      <c r="T90" s="134">
        <v>1.163</v>
      </c>
      <c r="U90" s="131">
        <v>1.163</v>
      </c>
      <c r="V90" s="131">
        <v>1.163</v>
      </c>
      <c r="W90" s="131">
        <v>1.163</v>
      </c>
      <c r="X90" s="131" t="s">
        <v>97</v>
      </c>
      <c r="Y90" s="131" t="s">
        <v>97</v>
      </c>
      <c r="Z90" s="131" t="s">
        <v>97</v>
      </c>
    </row>
    <row r="91" spans="2:26" ht="64.5" thickBot="1">
      <c r="B91" s="130">
        <v>13</v>
      </c>
      <c r="C91" s="129" t="s">
        <v>2</v>
      </c>
      <c r="D91" s="129" t="s">
        <v>119</v>
      </c>
      <c r="E91" s="135">
        <v>2.0110000000000001</v>
      </c>
      <c r="F91" s="135"/>
      <c r="G91" s="135"/>
      <c r="H91" s="135"/>
      <c r="I91" s="242" t="s">
        <v>97</v>
      </c>
      <c r="J91" s="131">
        <v>1.837</v>
      </c>
      <c r="K91" s="131">
        <v>1.7110000000000001</v>
      </c>
      <c r="L91" s="131">
        <v>1.5760000000000001</v>
      </c>
      <c r="M91" s="157"/>
      <c r="N91" s="162">
        <f t="shared" si="8"/>
        <v>0</v>
      </c>
      <c r="O91" s="186"/>
      <c r="P91" s="182"/>
      <c r="Q91" s="204"/>
      <c r="R91" s="200"/>
      <c r="S91" s="143"/>
      <c r="T91" s="134">
        <v>1.1545000000000001</v>
      </c>
      <c r="U91" s="131">
        <v>1.1545000000000001</v>
      </c>
      <c r="V91" s="131">
        <v>1.1545000000000001</v>
      </c>
      <c r="W91" s="131">
        <v>1.1545000000000001</v>
      </c>
      <c r="X91" s="131" t="s">
        <v>97</v>
      </c>
      <c r="Y91" s="131" t="s">
        <v>97</v>
      </c>
      <c r="Z91" s="131" t="s">
        <v>97</v>
      </c>
    </row>
    <row r="92" spans="2:26" ht="64.5" thickBot="1">
      <c r="B92" s="130">
        <v>14</v>
      </c>
      <c r="C92" s="129" t="s">
        <v>3</v>
      </c>
      <c r="D92" s="129" t="s">
        <v>119</v>
      </c>
      <c r="E92" s="135">
        <v>1.798</v>
      </c>
      <c r="F92" s="135"/>
      <c r="G92" s="135"/>
      <c r="H92" s="135"/>
      <c r="I92" s="242" t="s">
        <v>97</v>
      </c>
      <c r="J92" s="131">
        <v>1.6234999999999999</v>
      </c>
      <c r="K92" s="131">
        <v>1.5375000000000001</v>
      </c>
      <c r="L92" s="131">
        <v>1.4504999999999999</v>
      </c>
      <c r="M92" s="157"/>
      <c r="N92" s="162">
        <f t="shared" si="8"/>
        <v>0</v>
      </c>
      <c r="O92" s="186"/>
      <c r="P92" s="182"/>
      <c r="Q92" s="204"/>
      <c r="R92" s="200"/>
      <c r="S92" s="143"/>
      <c r="T92" s="134">
        <v>1.1485000000000001</v>
      </c>
      <c r="U92" s="131">
        <v>1.1485000000000001</v>
      </c>
      <c r="V92" s="131">
        <v>1.1485000000000001</v>
      </c>
      <c r="W92" s="131">
        <v>1.1485000000000001</v>
      </c>
      <c r="X92" s="131" t="s">
        <v>97</v>
      </c>
      <c r="Y92" s="131" t="s">
        <v>97</v>
      </c>
      <c r="Z92" s="131" t="s">
        <v>97</v>
      </c>
    </row>
    <row r="93" spans="2:26" ht="64.5" thickBot="1">
      <c r="B93" s="130">
        <v>15</v>
      </c>
      <c r="C93" s="129" t="s">
        <v>4</v>
      </c>
      <c r="D93" s="129" t="s">
        <v>120</v>
      </c>
      <c r="E93" s="135">
        <v>1.5115000000000001</v>
      </c>
      <c r="F93" s="135"/>
      <c r="G93" s="135"/>
      <c r="H93" s="135"/>
      <c r="I93" s="242" t="s">
        <v>97</v>
      </c>
      <c r="J93" s="131">
        <v>1.385</v>
      </c>
      <c r="K93" s="131">
        <v>1.3025</v>
      </c>
      <c r="L93" s="131">
        <v>1.2645</v>
      </c>
      <c r="M93" s="157"/>
      <c r="N93" s="162">
        <f t="shared" si="8"/>
        <v>0</v>
      </c>
      <c r="O93" s="186"/>
      <c r="P93" s="182"/>
      <c r="Q93" s="204"/>
      <c r="R93" s="200"/>
      <c r="S93" s="143"/>
      <c r="T93" s="134">
        <v>1.0349999999999999</v>
      </c>
      <c r="U93" s="131">
        <v>1.0349999999999999</v>
      </c>
      <c r="V93" s="131">
        <v>1.0349999999999999</v>
      </c>
      <c r="W93" s="131">
        <v>1.0349999999999999</v>
      </c>
      <c r="X93" s="131" t="s">
        <v>97</v>
      </c>
      <c r="Y93" s="131" t="s">
        <v>97</v>
      </c>
      <c r="Z93" s="131" t="s">
        <v>97</v>
      </c>
    </row>
    <row r="94" spans="2:26" ht="64.5" thickBot="1">
      <c r="B94" s="130">
        <v>16</v>
      </c>
      <c r="C94" s="129" t="s">
        <v>6</v>
      </c>
      <c r="D94" s="129" t="s">
        <v>120</v>
      </c>
      <c r="E94" s="131">
        <v>1.2725</v>
      </c>
      <c r="F94" s="131"/>
      <c r="G94" s="131"/>
      <c r="H94" s="131"/>
      <c r="I94" s="242" t="s">
        <v>97</v>
      </c>
      <c r="J94" s="131">
        <v>1.1599999999999999</v>
      </c>
      <c r="K94" s="131">
        <v>1.115</v>
      </c>
      <c r="L94" s="131">
        <v>1.115</v>
      </c>
      <c r="M94" s="157"/>
      <c r="N94" s="162">
        <f t="shared" si="8"/>
        <v>0</v>
      </c>
      <c r="O94" s="186"/>
      <c r="P94" s="182"/>
      <c r="Q94" s="204"/>
      <c r="R94" s="200"/>
      <c r="S94" s="143"/>
      <c r="T94" s="134">
        <v>1.0209999999999999</v>
      </c>
      <c r="U94" s="131">
        <v>1.0209999999999999</v>
      </c>
      <c r="V94" s="131">
        <v>1.0209999999999999</v>
      </c>
      <c r="W94" s="131">
        <v>1.0209999999999999</v>
      </c>
      <c r="X94" s="131" t="s">
        <v>97</v>
      </c>
      <c r="Y94" s="131" t="s">
        <v>97</v>
      </c>
      <c r="Z94" s="131" t="s">
        <v>97</v>
      </c>
    </row>
    <row r="95" spans="2:26" ht="64.5" thickBot="1">
      <c r="B95" s="130">
        <v>17</v>
      </c>
      <c r="C95" s="129" t="s">
        <v>5</v>
      </c>
      <c r="D95" s="129" t="s">
        <v>120</v>
      </c>
      <c r="E95" s="131">
        <v>1.115</v>
      </c>
      <c r="F95" s="131"/>
      <c r="G95" s="131"/>
      <c r="H95" s="131"/>
      <c r="I95" s="242" t="s">
        <v>97</v>
      </c>
      <c r="J95" s="131">
        <v>1.115</v>
      </c>
      <c r="K95" s="131">
        <v>1.115</v>
      </c>
      <c r="L95" s="131">
        <v>1.115</v>
      </c>
      <c r="M95" s="157"/>
      <c r="N95" s="162">
        <f t="shared" si="8"/>
        <v>0</v>
      </c>
      <c r="O95" s="186"/>
      <c r="P95" s="182"/>
      <c r="Q95" s="204"/>
      <c r="R95" s="200"/>
      <c r="S95" s="143"/>
      <c r="T95" s="134">
        <v>1</v>
      </c>
      <c r="U95" s="131">
        <v>1</v>
      </c>
      <c r="V95" s="131">
        <v>1</v>
      </c>
      <c r="W95" s="131">
        <v>1</v>
      </c>
      <c r="X95" s="131" t="s">
        <v>97</v>
      </c>
      <c r="Y95" s="131" t="s">
        <v>97</v>
      </c>
      <c r="Z95" s="131" t="s">
        <v>97</v>
      </c>
    </row>
    <row r="96" spans="2:26" ht="13.5" thickBot="1">
      <c r="B96" s="284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6"/>
    </row>
    <row r="97" spans="2:26" ht="39" thickBot="1">
      <c r="B97" s="130">
        <v>1</v>
      </c>
      <c r="C97" s="129" t="s">
        <v>2</v>
      </c>
      <c r="D97" s="129" t="s">
        <v>118</v>
      </c>
      <c r="E97" s="131">
        <v>2.0979999999999999</v>
      </c>
      <c r="F97" s="131"/>
      <c r="G97" s="131"/>
      <c r="H97" s="131"/>
      <c r="I97" s="244">
        <v>1.1775</v>
      </c>
      <c r="J97" s="131">
        <v>1.885</v>
      </c>
      <c r="K97" s="131">
        <v>1.798</v>
      </c>
      <c r="L97" s="131">
        <v>1.6635</v>
      </c>
      <c r="M97" s="158"/>
      <c r="N97" s="160"/>
      <c r="O97" s="189"/>
      <c r="P97" s="190"/>
      <c r="Q97" s="208"/>
      <c r="R97" s="209"/>
      <c r="S97" s="143"/>
      <c r="T97" s="148">
        <v>1.2575000000000001</v>
      </c>
      <c r="U97" s="149">
        <v>1.2575000000000001</v>
      </c>
      <c r="V97" s="149">
        <v>1.214</v>
      </c>
      <c r="W97" s="149">
        <v>1.1775</v>
      </c>
      <c r="X97" s="149">
        <v>1.1775</v>
      </c>
      <c r="Y97" s="149">
        <v>1.1775</v>
      </c>
      <c r="Z97" s="149">
        <v>1.1775</v>
      </c>
    </row>
    <row r="98" spans="2:26" ht="39" thickBot="1">
      <c r="B98" s="130">
        <v>2</v>
      </c>
      <c r="C98" s="129" t="s">
        <v>3</v>
      </c>
      <c r="D98" s="129" t="s">
        <v>118</v>
      </c>
      <c r="E98" s="131">
        <v>1.837</v>
      </c>
      <c r="F98" s="131"/>
      <c r="G98" s="131"/>
      <c r="H98" s="131"/>
      <c r="I98" s="242">
        <v>1.163</v>
      </c>
      <c r="J98" s="131">
        <v>1.6635</v>
      </c>
      <c r="K98" s="131">
        <v>1.5760000000000001</v>
      </c>
      <c r="L98" s="131">
        <v>1.49</v>
      </c>
      <c r="M98" s="157"/>
      <c r="N98" s="160"/>
      <c r="O98" s="186"/>
      <c r="P98" s="190"/>
      <c r="Q98" s="204"/>
      <c r="R98" s="209"/>
      <c r="S98" s="143"/>
      <c r="T98" s="134">
        <v>1.163</v>
      </c>
      <c r="U98" s="131">
        <v>1.163</v>
      </c>
      <c r="V98" s="131">
        <v>1.163</v>
      </c>
      <c r="W98" s="131">
        <v>1.163</v>
      </c>
      <c r="X98" s="131">
        <v>1.163</v>
      </c>
      <c r="Y98" s="131">
        <v>1.163</v>
      </c>
      <c r="Z98" s="131">
        <v>1.163</v>
      </c>
    </row>
    <row r="99" spans="2:26" ht="64.5" thickBot="1">
      <c r="B99" s="130">
        <v>3</v>
      </c>
      <c r="C99" s="129" t="s">
        <v>2</v>
      </c>
      <c r="D99" s="129" t="s">
        <v>119</v>
      </c>
      <c r="E99" s="131">
        <v>2.0110000000000001</v>
      </c>
      <c r="F99" s="131"/>
      <c r="G99" s="131"/>
      <c r="H99" s="131"/>
      <c r="I99" s="242">
        <v>1.1545000000000001</v>
      </c>
      <c r="J99" s="131">
        <v>1.837</v>
      </c>
      <c r="K99" s="131">
        <v>1.7110000000000001</v>
      </c>
      <c r="L99" s="131">
        <v>1.5760000000000001</v>
      </c>
      <c r="M99" s="157"/>
      <c r="N99" s="160"/>
      <c r="O99" s="186"/>
      <c r="P99" s="190"/>
      <c r="Q99" s="204"/>
      <c r="R99" s="209"/>
      <c r="S99" s="143"/>
      <c r="T99" s="134">
        <v>1.1545000000000001</v>
      </c>
      <c r="U99" s="131">
        <v>1.1545000000000001</v>
      </c>
      <c r="V99" s="131">
        <v>1.1545000000000001</v>
      </c>
      <c r="W99" s="131">
        <v>1.1545000000000001</v>
      </c>
      <c r="X99" s="131">
        <v>1.1545000000000001</v>
      </c>
      <c r="Y99" s="131">
        <v>1.1545000000000001</v>
      </c>
      <c r="Z99" s="131">
        <v>1.1545000000000001</v>
      </c>
    </row>
    <row r="100" spans="2:26" ht="64.5" thickBot="1">
      <c r="B100" s="130">
        <v>4</v>
      </c>
      <c r="C100" s="129" t="s">
        <v>3</v>
      </c>
      <c r="D100" s="129" t="s">
        <v>119</v>
      </c>
      <c r="E100" s="131">
        <v>1.798</v>
      </c>
      <c r="F100" s="131"/>
      <c r="G100" s="131"/>
      <c r="H100" s="131"/>
      <c r="I100" s="242">
        <v>1.1485000000000001</v>
      </c>
      <c r="J100" s="131">
        <v>1.6234999999999999</v>
      </c>
      <c r="K100" s="131">
        <v>1.5375000000000001</v>
      </c>
      <c r="L100" s="131">
        <v>1.4504999999999999</v>
      </c>
      <c r="M100" s="157"/>
      <c r="N100" s="160"/>
      <c r="O100" s="186"/>
      <c r="P100" s="190"/>
      <c r="Q100" s="204"/>
      <c r="R100" s="209"/>
      <c r="S100" s="143"/>
      <c r="T100" s="134">
        <v>1.1485000000000001</v>
      </c>
      <c r="U100" s="131">
        <v>1.1485000000000001</v>
      </c>
      <c r="V100" s="131">
        <v>1.1485000000000001</v>
      </c>
      <c r="W100" s="131">
        <v>1.1485000000000001</v>
      </c>
      <c r="X100" s="131">
        <v>1.1485000000000001</v>
      </c>
      <c r="Y100" s="131">
        <v>1.1485000000000001</v>
      </c>
      <c r="Z100" s="131">
        <v>1.1485000000000001</v>
      </c>
    </row>
    <row r="101" spans="2:26" ht="39" thickBot="1">
      <c r="B101" s="130">
        <v>5</v>
      </c>
      <c r="C101" s="129" t="s">
        <v>4</v>
      </c>
      <c r="D101" s="129" t="s">
        <v>158</v>
      </c>
      <c r="E101" s="131">
        <v>1.571</v>
      </c>
      <c r="F101" s="131"/>
      <c r="G101" s="131"/>
      <c r="H101" s="131"/>
      <c r="I101" s="242">
        <v>1.0489999999999999</v>
      </c>
      <c r="J101" s="131">
        <v>1.4450000000000001</v>
      </c>
      <c r="K101" s="131">
        <v>1.3625</v>
      </c>
      <c r="L101" s="131">
        <v>1.3240000000000001</v>
      </c>
      <c r="M101" s="157"/>
      <c r="N101" s="160"/>
      <c r="O101" s="186"/>
      <c r="P101" s="190"/>
      <c r="Q101" s="204"/>
      <c r="R101" s="209"/>
      <c r="S101" s="143"/>
      <c r="T101" s="134">
        <v>1.0489999999999999</v>
      </c>
      <c r="U101" s="131">
        <v>1.0489999999999999</v>
      </c>
      <c r="V101" s="131">
        <v>1.0489999999999999</v>
      </c>
      <c r="W101" s="131">
        <v>1.0489999999999999</v>
      </c>
      <c r="X101" s="131">
        <v>1.0489999999999999</v>
      </c>
      <c r="Y101" s="131">
        <v>1.0489999999999999</v>
      </c>
      <c r="Z101" s="131">
        <v>1.0489999999999999</v>
      </c>
    </row>
    <row r="102" spans="2:26" ht="39" thickBot="1">
      <c r="B102" s="130">
        <v>6</v>
      </c>
      <c r="C102" s="129" t="s">
        <v>6</v>
      </c>
      <c r="D102" s="129" t="s">
        <v>158</v>
      </c>
      <c r="E102" s="131">
        <v>1.5489999999999999</v>
      </c>
      <c r="F102" s="131"/>
      <c r="G102" s="131"/>
      <c r="H102" s="131"/>
      <c r="I102" s="242">
        <v>1.042</v>
      </c>
      <c r="J102" s="131">
        <v>1.4215</v>
      </c>
      <c r="K102" s="131">
        <v>1.3394999999999999</v>
      </c>
      <c r="L102" s="131">
        <v>1.3025</v>
      </c>
      <c r="M102" s="157"/>
      <c r="N102" s="160"/>
      <c r="O102" s="186"/>
      <c r="P102" s="190"/>
      <c r="Q102" s="204"/>
      <c r="R102" s="209"/>
      <c r="S102" s="143"/>
      <c r="T102" s="134">
        <v>1.042</v>
      </c>
      <c r="U102" s="131">
        <v>1.042</v>
      </c>
      <c r="V102" s="131">
        <v>1.042</v>
      </c>
      <c r="W102" s="131">
        <v>1.042</v>
      </c>
      <c r="X102" s="131">
        <v>1.042</v>
      </c>
      <c r="Y102" s="131">
        <v>1.042</v>
      </c>
      <c r="Z102" s="131">
        <v>1.042</v>
      </c>
    </row>
    <row r="103" spans="2:26" ht="39" thickBot="1">
      <c r="B103" s="130">
        <v>7</v>
      </c>
      <c r="C103" s="129" t="s">
        <v>5</v>
      </c>
      <c r="D103" s="129" t="s">
        <v>158</v>
      </c>
      <c r="E103" s="131">
        <v>1.5345</v>
      </c>
      <c r="F103" s="131"/>
      <c r="G103" s="131"/>
      <c r="H103" s="131"/>
      <c r="I103" s="242">
        <v>1.0385</v>
      </c>
      <c r="J103" s="131">
        <v>1.4075</v>
      </c>
      <c r="K103" s="131">
        <v>1.3240000000000001</v>
      </c>
      <c r="L103" s="131">
        <v>1.2749999999999999</v>
      </c>
      <c r="M103" s="157"/>
      <c r="N103" s="160"/>
      <c r="O103" s="186"/>
      <c r="P103" s="190"/>
      <c r="Q103" s="204"/>
      <c r="R103" s="209"/>
      <c r="S103" s="143"/>
      <c r="T103" s="134">
        <v>1.0385</v>
      </c>
      <c r="U103" s="131">
        <v>1.0385</v>
      </c>
      <c r="V103" s="131">
        <v>1.0385</v>
      </c>
      <c r="W103" s="131">
        <v>1.0385</v>
      </c>
      <c r="X103" s="131">
        <v>1.0385</v>
      </c>
      <c r="Y103" s="131">
        <v>1.0385</v>
      </c>
      <c r="Z103" s="131">
        <v>1.0385</v>
      </c>
    </row>
    <row r="104" spans="2:26" ht="64.5" thickBot="1">
      <c r="B104" s="130">
        <v>8</v>
      </c>
      <c r="C104" s="129" t="s">
        <v>4</v>
      </c>
      <c r="D104" s="129" t="s">
        <v>120</v>
      </c>
      <c r="E104" s="131">
        <v>1.5115000000000001</v>
      </c>
      <c r="F104" s="131"/>
      <c r="G104" s="131"/>
      <c r="H104" s="131"/>
      <c r="I104" s="242">
        <v>1.0349999999999999</v>
      </c>
      <c r="J104" s="131">
        <v>1.385</v>
      </c>
      <c r="K104" s="131">
        <v>1.3025</v>
      </c>
      <c r="L104" s="131">
        <v>1.2645</v>
      </c>
      <c r="M104" s="157"/>
      <c r="N104" s="160"/>
      <c r="O104" s="186"/>
      <c r="P104" s="190"/>
      <c r="Q104" s="204"/>
      <c r="R104" s="209"/>
      <c r="S104" s="143"/>
      <c r="T104" s="134">
        <v>1.0349999999999999</v>
      </c>
      <c r="U104" s="131">
        <v>1.0349999999999999</v>
      </c>
      <c r="V104" s="131">
        <v>1.0349999999999999</v>
      </c>
      <c r="W104" s="131">
        <v>1.0349999999999999</v>
      </c>
      <c r="X104" s="131">
        <v>1.0349999999999999</v>
      </c>
      <c r="Y104" s="131">
        <v>1.0349999999999999</v>
      </c>
      <c r="Z104" s="131">
        <v>1.0349999999999999</v>
      </c>
    </row>
    <row r="105" spans="2:26" ht="64.5" thickBot="1">
      <c r="B105" s="130">
        <v>9</v>
      </c>
      <c r="C105" s="129" t="s">
        <v>6</v>
      </c>
      <c r="D105" s="129" t="s">
        <v>120</v>
      </c>
      <c r="E105" s="131">
        <v>1.2725</v>
      </c>
      <c r="F105" s="131"/>
      <c r="G105" s="131"/>
      <c r="H105" s="131"/>
      <c r="I105" s="242">
        <v>1.0209999999999999</v>
      </c>
      <c r="J105" s="131">
        <v>1.1599999999999999</v>
      </c>
      <c r="K105" s="131">
        <v>1.115</v>
      </c>
      <c r="L105" s="131">
        <v>1.115</v>
      </c>
      <c r="M105" s="157"/>
      <c r="N105" s="160"/>
      <c r="O105" s="186"/>
      <c r="P105" s="190"/>
      <c r="Q105" s="204"/>
      <c r="R105" s="209"/>
      <c r="S105" s="143"/>
      <c r="T105" s="134">
        <v>1.0209999999999999</v>
      </c>
      <c r="U105" s="131">
        <v>1.0209999999999999</v>
      </c>
      <c r="V105" s="131">
        <v>1.0209999999999999</v>
      </c>
      <c r="W105" s="131">
        <v>1.0209999999999999</v>
      </c>
      <c r="X105" s="131">
        <v>1.0209999999999999</v>
      </c>
      <c r="Y105" s="131">
        <v>1.0209999999999999</v>
      </c>
      <c r="Z105" s="131">
        <v>1.0209999999999999</v>
      </c>
    </row>
    <row r="106" spans="2:26" ht="64.5" thickBot="1">
      <c r="B106" s="130">
        <v>10</v>
      </c>
      <c r="C106" s="129" t="s">
        <v>5</v>
      </c>
      <c r="D106" s="129" t="s">
        <v>120</v>
      </c>
      <c r="E106" s="131">
        <v>1.115</v>
      </c>
      <c r="F106" s="131"/>
      <c r="G106" s="131"/>
      <c r="H106" s="131"/>
      <c r="I106" s="242">
        <v>1</v>
      </c>
      <c r="J106" s="131">
        <v>1.115</v>
      </c>
      <c r="K106" s="131">
        <v>1.115</v>
      </c>
      <c r="L106" s="131">
        <v>1.115</v>
      </c>
      <c r="M106" s="157"/>
      <c r="N106" s="160"/>
      <c r="O106" s="186"/>
      <c r="P106" s="190"/>
      <c r="Q106" s="204"/>
      <c r="R106" s="209"/>
      <c r="S106" s="143"/>
      <c r="T106" s="134">
        <v>1</v>
      </c>
      <c r="U106" s="131">
        <v>1</v>
      </c>
      <c r="V106" s="131">
        <v>1</v>
      </c>
      <c r="W106" s="131">
        <v>1</v>
      </c>
      <c r="X106" s="131">
        <v>1</v>
      </c>
      <c r="Y106" s="131">
        <v>1</v>
      </c>
      <c r="Z106" s="131">
        <v>1</v>
      </c>
    </row>
  </sheetData>
  <mergeCells count="20">
    <mergeCell ref="B78:D78"/>
    <mergeCell ref="B96:Z96"/>
    <mergeCell ref="A67:A70"/>
    <mergeCell ref="A71:A73"/>
    <mergeCell ref="B74:B76"/>
    <mergeCell ref="C75:Z75"/>
    <mergeCell ref="C76:Z76"/>
    <mergeCell ref="C77:Z77"/>
    <mergeCell ref="B32:D32"/>
    <mergeCell ref="B38:Z38"/>
    <mergeCell ref="B39:D39"/>
    <mergeCell ref="A44:A46"/>
    <mergeCell ref="A47:A54"/>
    <mergeCell ref="A55:A66"/>
    <mergeCell ref="D2:M2"/>
    <mergeCell ref="T2:Z2"/>
    <mergeCell ref="B9:Z9"/>
    <mergeCell ref="B10:D10"/>
    <mergeCell ref="B30:D30"/>
    <mergeCell ref="B31:Z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Годовой ФОТ председатель</vt:lpstr>
      <vt:lpstr>Годовой ФОТ КСП</vt:lpstr>
      <vt:lpstr>Годовой ФОТ ДУМЫ</vt:lpstr>
      <vt:lpstr>Годовой ФОТАСР с уч.повыш по до</vt:lpstr>
      <vt:lpstr>Годовой ФОТ АСР с учетом повыш</vt:lpstr>
      <vt:lpstr>Расчёт ХМАО. Г и Сп Проект</vt:lpstr>
      <vt:lpstr>Годовой ФОТ глава Русскинская</vt:lpstr>
      <vt:lpstr>Годовой ФОТ Русскинская</vt:lpstr>
      <vt:lpstr>коэфф.кратности Русскинская</vt:lpstr>
      <vt:lpstr>'Расчёт ХМАО. Г и Сп Проект'!Заголовки_для_печати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SpasennikovaEV</dc:creator>
  <cp:lastModifiedBy>Бухгалтерия</cp:lastModifiedBy>
  <cp:lastPrinted>2020-12-16T05:55:50Z</cp:lastPrinted>
  <dcterms:created xsi:type="dcterms:W3CDTF">2007-05-24T06:13:00Z</dcterms:created>
  <dcterms:modified xsi:type="dcterms:W3CDTF">2020-12-16T05:58:50Z</dcterms:modified>
</cp:coreProperties>
</file>